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renda\Desktop\"/>
    </mc:Choice>
  </mc:AlternateContent>
  <xr:revisionPtr revIDLastSave="0" documentId="8_{740F7F41-E012-44FD-9B04-90A086DEBF83}" xr6:coauthVersionLast="47" xr6:coauthVersionMax="47" xr10:uidLastSave="{00000000-0000-0000-0000-000000000000}"/>
  <bookViews>
    <workbookView xWindow="-120" yWindow="-120" windowWidth="20730" windowHeight="11160" tabRatio="796" xr2:uid="{00000000-000D-0000-FFFF-FFFF00000000}"/>
  </bookViews>
  <sheets>
    <sheet name="Schip" sheetId="5" r:id="rId1"/>
    <sheet name="Gebruiksaanwijzing" sheetId="8" r:id="rId2"/>
    <sheet name="Zeilen" sheetId="19" r:id="rId3"/>
    <sheet name="Rondhouten" sheetId="3" r:id="rId4"/>
    <sheet name="Onderhoud RH" sheetId="14" r:id="rId5"/>
    <sheet name="Staand Want" sheetId="1" r:id="rId6"/>
    <sheet name="Onderhoud SW" sheetId="15" r:id="rId7"/>
    <sheet name="Lopend Want" sheetId="2" r:id="rId8"/>
    <sheet name="Onderhoud LW" sheetId="16" r:id="rId9"/>
    <sheet name="Estrin" sheetId="13" r:id="rId10"/>
    <sheet name="Branchenorm" sheetId="17" r:id="rId11"/>
    <sheet name="Data" sheetId="4" r:id="rId12"/>
    <sheet name="Afbeeldingen" sheetId="18" r:id="rId13"/>
  </sheets>
  <definedNames>
    <definedName name="_xlnm.Print_Area" localSheetId="3">Rondhouten!$A$1:$J$43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1" l="1"/>
  <c r="M60" i="1"/>
  <c r="M59" i="1"/>
  <c r="M58" i="1"/>
  <c r="M57" i="1"/>
  <c r="M56" i="1"/>
  <c r="M55" i="1"/>
  <c r="M54" i="1"/>
  <c r="M53" i="1"/>
  <c r="M52" i="1"/>
  <c r="M51" i="1"/>
  <c r="M50" i="1"/>
  <c r="M48" i="1"/>
  <c r="M47" i="1"/>
  <c r="M46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M8" i="1"/>
  <c r="M7" i="1"/>
  <c r="M6" i="1"/>
  <c r="AL94" i="4"/>
  <c r="AL95" i="4"/>
  <c r="AL96" i="4"/>
  <c r="AL97" i="4"/>
  <c r="AL82" i="4"/>
  <c r="AL80" i="4"/>
  <c r="AL79" i="4"/>
  <c r="AL77" i="4"/>
  <c r="AL73" i="4"/>
  <c r="AL72" i="4"/>
  <c r="AL71" i="4"/>
  <c r="AL68" i="4"/>
  <c r="AL66" i="4"/>
  <c r="AL65" i="4"/>
  <c r="AI386" i="4"/>
  <c r="AI383" i="4"/>
  <c r="AI348" i="4"/>
  <c r="AI345" i="4"/>
  <c r="AI310" i="4"/>
  <c r="AI307" i="4"/>
  <c r="AI268" i="4"/>
  <c r="AI265" i="4"/>
  <c r="AI234" i="4"/>
  <c r="AI231" i="4"/>
  <c r="AI192" i="4"/>
  <c r="AI189" i="4"/>
  <c r="AI158" i="4"/>
  <c r="AI155" i="4"/>
  <c r="AI116" i="4"/>
  <c r="AI113" i="4"/>
  <c r="AI82" i="4"/>
  <c r="AI79" i="4"/>
  <c r="O69" i="2" l="1"/>
  <c r="O68" i="2"/>
  <c r="O67" i="2"/>
  <c r="O66" i="2"/>
  <c r="O65" i="2"/>
  <c r="O64" i="2"/>
  <c r="O63" i="2"/>
  <c r="O62" i="2"/>
  <c r="O61" i="2"/>
  <c r="O60" i="2"/>
  <c r="O59" i="2"/>
  <c r="O58" i="2"/>
  <c r="O56" i="2"/>
  <c r="O55" i="2"/>
  <c r="O54" i="2"/>
  <c r="O53" i="2"/>
  <c r="O52" i="2"/>
  <c r="O51" i="2"/>
  <c r="O50" i="2"/>
  <c r="O49" i="2"/>
  <c r="O48" i="2"/>
  <c r="O47" i="2"/>
  <c r="O46" i="2"/>
  <c r="O45" i="2"/>
  <c r="O43" i="2"/>
  <c r="O42" i="2"/>
  <c r="O41" i="2"/>
  <c r="O40" i="2"/>
  <c r="O39" i="2"/>
  <c r="O38" i="2"/>
  <c r="O37" i="2"/>
  <c r="O36" i="2"/>
  <c r="O35" i="2"/>
  <c r="O34" i="2"/>
  <c r="O33" i="2"/>
  <c r="O32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7" i="2"/>
  <c r="O8" i="2"/>
  <c r="O9" i="2"/>
  <c r="O10" i="2"/>
  <c r="O11" i="2"/>
  <c r="O12" i="2"/>
  <c r="O6" i="2"/>
  <c r="AZ223" i="4"/>
  <c r="AZ224" i="4"/>
  <c r="AZ225" i="4"/>
  <c r="AZ226" i="4"/>
  <c r="AZ227" i="4"/>
  <c r="AZ228" i="4"/>
  <c r="AZ229" i="4"/>
  <c r="AZ230" i="4"/>
  <c r="AZ231" i="4"/>
  <c r="AZ232" i="4"/>
  <c r="AZ233" i="4"/>
  <c r="AZ234" i="4"/>
  <c r="AZ235" i="4"/>
  <c r="AZ236" i="4"/>
  <c r="AZ237" i="4"/>
  <c r="AZ238" i="4"/>
  <c r="AZ239" i="4"/>
  <c r="AZ240" i="4"/>
  <c r="AZ241" i="4"/>
  <c r="AZ242" i="4"/>
  <c r="AZ243" i="4"/>
  <c r="AZ222" i="4"/>
  <c r="AZ474" i="4"/>
  <c r="AZ451" i="4"/>
  <c r="AZ428" i="4"/>
  <c r="AZ405" i="4"/>
  <c r="AZ382" i="4"/>
  <c r="H69" i="2"/>
  <c r="H68" i="2"/>
  <c r="H67" i="2"/>
  <c r="H66" i="2"/>
  <c r="H65" i="2"/>
  <c r="H64" i="2"/>
  <c r="H63" i="2"/>
  <c r="H62" i="2"/>
  <c r="H61" i="2"/>
  <c r="H60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9" i="2"/>
  <c r="H10" i="2"/>
  <c r="H11" i="2"/>
  <c r="H12" i="2"/>
  <c r="H6" i="2"/>
  <c r="D8" i="2"/>
  <c r="A8" i="2"/>
  <c r="I4" i="5"/>
  <c r="I5" i="5"/>
  <c r="I6" i="5"/>
  <c r="I7" i="5"/>
  <c r="I8" i="5" l="1"/>
  <c r="A6" i="19"/>
  <c r="A7" i="19"/>
  <c r="A8" i="19"/>
  <c r="A9" i="19"/>
  <c r="A5" i="19"/>
  <c r="AD60" i="4" l="1"/>
  <c r="D9" i="2"/>
  <c r="D10" i="2"/>
  <c r="D11" i="2"/>
  <c r="A7" i="2"/>
  <c r="A9" i="2"/>
  <c r="A10" i="2"/>
  <c r="A11" i="2"/>
  <c r="A6" i="2"/>
  <c r="B7" i="8" l="1"/>
  <c r="A22" i="19" l="1"/>
  <c r="A40" i="19"/>
  <c r="A31" i="19"/>
  <c r="D22" i="2" l="1"/>
  <c r="A22" i="2"/>
  <c r="D21" i="2"/>
  <c r="A21" i="2"/>
  <c r="D20" i="2"/>
  <c r="A20" i="2"/>
  <c r="D28" i="2"/>
  <c r="A28" i="2"/>
  <c r="D27" i="2"/>
  <c r="A27" i="2"/>
  <c r="D26" i="2"/>
  <c r="A26" i="2"/>
  <c r="D67" i="2"/>
  <c r="D66" i="2"/>
  <c r="D65" i="2"/>
  <c r="D64" i="2"/>
  <c r="D63" i="2"/>
  <c r="D62" i="2"/>
  <c r="D61" i="2"/>
  <c r="D60" i="2"/>
  <c r="D59" i="2"/>
  <c r="D58" i="2"/>
  <c r="D54" i="2"/>
  <c r="D53" i="2"/>
  <c r="D52" i="2"/>
  <c r="D51" i="2"/>
  <c r="D50" i="2"/>
  <c r="D49" i="2"/>
  <c r="D48" i="2"/>
  <c r="D47" i="2"/>
  <c r="D46" i="2"/>
  <c r="D45" i="2"/>
  <c r="D41" i="2"/>
  <c r="D40" i="2"/>
  <c r="D39" i="2"/>
  <c r="D38" i="2"/>
  <c r="D37" i="2"/>
  <c r="D36" i="2"/>
  <c r="D35" i="2"/>
  <c r="D34" i="2"/>
  <c r="D33" i="2"/>
  <c r="D32" i="2"/>
  <c r="D25" i="2"/>
  <c r="D24" i="2"/>
  <c r="D23" i="2"/>
  <c r="D19" i="2"/>
  <c r="D18" i="2"/>
  <c r="D17" i="2"/>
  <c r="D16" i="2"/>
  <c r="D15" i="2"/>
  <c r="D14" i="2"/>
  <c r="D7" i="2"/>
  <c r="D6" i="2"/>
  <c r="H61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7" i="1"/>
  <c r="H8" i="1"/>
  <c r="H9" i="1"/>
  <c r="AL380" i="4"/>
  <c r="AL379" i="4"/>
  <c r="AL378" i="4"/>
  <c r="AL377" i="4"/>
  <c r="AL376" i="4"/>
  <c r="AL375" i="4"/>
  <c r="AL373" i="4"/>
  <c r="AL372" i="4"/>
  <c r="AL371" i="4"/>
  <c r="AL370" i="4"/>
  <c r="AL369" i="4"/>
  <c r="AL368" i="4"/>
  <c r="AL367" i="4"/>
  <c r="AL365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4" i="4"/>
  <c r="AI385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364" i="4"/>
  <c r="BB496" i="4"/>
  <c r="BB495" i="4"/>
  <c r="BB494" i="4"/>
  <c r="BB493" i="4"/>
  <c r="BB492" i="4"/>
  <c r="BB491" i="4"/>
  <c r="BB489" i="4"/>
  <c r="BB487" i="4"/>
  <c r="BB485" i="4"/>
  <c r="BB483" i="4"/>
  <c r="BB481" i="4"/>
  <c r="BB479" i="4"/>
  <c r="BB477" i="4"/>
  <c r="BB475" i="4"/>
  <c r="AY497" i="4"/>
  <c r="BB472" i="4"/>
  <c r="BB470" i="4"/>
  <c r="BB469" i="4"/>
  <c r="BB468" i="4"/>
  <c r="BB466" i="4"/>
  <c r="BB464" i="4"/>
  <c r="BB462" i="4"/>
  <c r="BB460" i="4"/>
  <c r="BB458" i="4"/>
  <c r="BB456" i="4"/>
  <c r="BB454" i="4"/>
  <c r="BB452" i="4"/>
  <c r="BB447" i="4"/>
  <c r="BB445" i="4"/>
  <c r="BB443" i="4"/>
  <c r="BB441" i="4"/>
  <c r="BB437" i="4"/>
  <c r="BB435" i="4"/>
  <c r="BB433" i="4"/>
  <c r="BB408" i="4"/>
  <c r="BB387" i="4"/>
  <c r="AZ479" i="4"/>
  <c r="AY479" i="4" s="1"/>
  <c r="AZ481" i="4"/>
  <c r="AY481" i="4" s="1"/>
  <c r="AZ486" i="4"/>
  <c r="AY486" i="4" s="1"/>
  <c r="AZ489" i="4"/>
  <c r="AY489" i="4" s="1"/>
  <c r="AZ494" i="4"/>
  <c r="AY494" i="4" s="1"/>
  <c r="AZ495" i="4"/>
  <c r="AY495" i="4" s="1"/>
  <c r="AZ483" i="4"/>
  <c r="AY483" i="4" s="1"/>
  <c r="AZ456" i="4"/>
  <c r="AY456" i="4" s="1"/>
  <c r="AZ467" i="4"/>
  <c r="AY467" i="4" s="1"/>
  <c r="AZ460" i="4"/>
  <c r="AY460" i="4" s="1"/>
  <c r="AZ430" i="4"/>
  <c r="AZ434" i="4"/>
  <c r="AY434" i="4" s="1"/>
  <c r="AZ435" i="4"/>
  <c r="AY435" i="4" s="1"/>
  <c r="AZ439" i="4"/>
  <c r="AY439" i="4" s="1"/>
  <c r="AZ441" i="4"/>
  <c r="AY441" i="4" s="1"/>
  <c r="AZ445" i="4"/>
  <c r="AY445" i="4" s="1"/>
  <c r="AZ446" i="4"/>
  <c r="AY446" i="4" s="1"/>
  <c r="AZ450" i="4"/>
  <c r="AY450" i="4" s="1"/>
  <c r="AZ429" i="4"/>
  <c r="AY429" i="4" s="1"/>
  <c r="AY428" i="4"/>
  <c r="AZ411" i="4"/>
  <c r="AY411" i="4" s="1"/>
  <c r="AZ415" i="4"/>
  <c r="AY415" i="4" s="1"/>
  <c r="AZ416" i="4"/>
  <c r="AY416" i="4" s="1"/>
  <c r="AZ421" i="4"/>
  <c r="AY421" i="4" s="1"/>
  <c r="AZ425" i="4"/>
  <c r="AY425" i="4" s="1"/>
  <c r="AZ427" i="4"/>
  <c r="AY427" i="4" s="1"/>
  <c r="AZ409" i="4"/>
  <c r="AY409" i="4" s="1"/>
  <c r="AZ384" i="4"/>
  <c r="AY384" i="4" s="1"/>
  <c r="AZ386" i="4"/>
  <c r="AY386" i="4" s="1"/>
  <c r="AZ391" i="4"/>
  <c r="AY391" i="4" s="1"/>
  <c r="AZ394" i="4"/>
  <c r="AY394" i="4" s="1"/>
  <c r="AZ399" i="4"/>
  <c r="AY399" i="4" s="1"/>
  <c r="AZ402" i="4"/>
  <c r="AY402" i="4" s="1"/>
  <c r="AY430" i="4"/>
  <c r="AY451" i="4"/>
  <c r="AY474" i="4"/>
  <c r="AZ359" i="4"/>
  <c r="AY359" i="4" s="1"/>
  <c r="AZ336" i="4"/>
  <c r="AY336" i="4" s="1"/>
  <c r="AZ313" i="4"/>
  <c r="AY313" i="4" s="1"/>
  <c r="AZ290" i="4"/>
  <c r="AY290" i="4" s="1"/>
  <c r="AZ267" i="4"/>
  <c r="AY267" i="4" s="1"/>
  <c r="BB257" i="4"/>
  <c r="BB255" i="4"/>
  <c r="AZ244" i="4"/>
  <c r="AY244" i="4" s="1"/>
  <c r="AY243" i="4"/>
  <c r="AY242" i="4"/>
  <c r="AY241" i="4"/>
  <c r="AY240" i="4"/>
  <c r="BB239" i="4"/>
  <c r="AY239" i="4"/>
  <c r="AY238" i="4"/>
  <c r="AY237" i="4"/>
  <c r="BB236" i="4"/>
  <c r="AY236" i="4"/>
  <c r="AY235" i="4"/>
  <c r="BB234" i="4"/>
  <c r="AY234" i="4"/>
  <c r="AY233" i="4"/>
  <c r="BB232" i="4"/>
  <c r="AY232" i="4"/>
  <c r="AY231" i="4"/>
  <c r="BB230" i="4"/>
  <c r="AY230" i="4"/>
  <c r="AY229" i="4"/>
  <c r="BB228" i="4"/>
  <c r="AY228" i="4"/>
  <c r="AY227" i="4"/>
  <c r="BB226" i="4"/>
  <c r="AY226" i="4"/>
  <c r="AY225" i="4"/>
  <c r="BB224" i="4"/>
  <c r="AY224" i="4"/>
  <c r="BB223" i="4"/>
  <c r="AY223" i="4"/>
  <c r="BB222" i="4"/>
  <c r="AY222" i="4"/>
  <c r="BB221" i="4"/>
  <c r="AY221" i="4"/>
  <c r="H8" i="2" s="1"/>
  <c r="AZ198" i="4"/>
  <c r="AY198" i="4" s="1"/>
  <c r="AZ175" i="4"/>
  <c r="AY175" i="4"/>
  <c r="AZ152" i="4"/>
  <c r="AY152" i="4" s="1"/>
  <c r="AZ129" i="4"/>
  <c r="AZ130" i="4" s="1"/>
  <c r="AY129" i="4"/>
  <c r="AZ106" i="4"/>
  <c r="AY106" i="4" s="1"/>
  <c r="AZ83" i="4"/>
  <c r="AY83" i="4"/>
  <c r="AZ60" i="4"/>
  <c r="AZ61" i="4" s="1"/>
  <c r="AY61" i="4" s="1"/>
  <c r="D59" i="1"/>
  <c r="D58" i="1"/>
  <c r="D57" i="1"/>
  <c r="D56" i="1"/>
  <c r="D55" i="1"/>
  <c r="D54" i="1"/>
  <c r="D53" i="1"/>
  <c r="D52" i="1"/>
  <c r="D51" i="1"/>
  <c r="D50" i="1"/>
  <c r="D46" i="1"/>
  <c r="D45" i="1"/>
  <c r="D44" i="1"/>
  <c r="D43" i="1"/>
  <c r="D42" i="1"/>
  <c r="D41" i="1"/>
  <c r="D40" i="1"/>
  <c r="D39" i="1"/>
  <c r="D38" i="1"/>
  <c r="D37" i="1"/>
  <c r="D33" i="1"/>
  <c r="D32" i="1"/>
  <c r="D31" i="1"/>
  <c r="D30" i="1"/>
  <c r="D29" i="1"/>
  <c r="D28" i="1"/>
  <c r="D27" i="1"/>
  <c r="D26" i="1"/>
  <c r="D25" i="1"/>
  <c r="D24" i="1"/>
  <c r="D20" i="1"/>
  <c r="D19" i="1"/>
  <c r="D18" i="1"/>
  <c r="D17" i="1"/>
  <c r="D16" i="1"/>
  <c r="D15" i="1"/>
  <c r="D14" i="1"/>
  <c r="D13" i="1"/>
  <c r="D12" i="1"/>
  <c r="D11" i="1"/>
  <c r="D7" i="1"/>
  <c r="D8" i="1"/>
  <c r="D6" i="1"/>
  <c r="AL332" i="4"/>
  <c r="AL333" i="4"/>
  <c r="AL334" i="4"/>
  <c r="AL338" i="4"/>
  <c r="A37" i="3"/>
  <c r="A38" i="3"/>
  <c r="A39" i="3"/>
  <c r="A40" i="3"/>
  <c r="A36" i="3"/>
  <c r="A29" i="3"/>
  <c r="A30" i="3"/>
  <c r="A31" i="3"/>
  <c r="A32" i="3"/>
  <c r="A28" i="3"/>
  <c r="A21" i="3"/>
  <c r="A22" i="3"/>
  <c r="A23" i="3"/>
  <c r="A24" i="3"/>
  <c r="A20" i="3"/>
  <c r="A13" i="3"/>
  <c r="A14" i="3"/>
  <c r="A15" i="3"/>
  <c r="A16" i="3"/>
  <c r="A12" i="3"/>
  <c r="C40" i="3"/>
  <c r="C39" i="3"/>
  <c r="C38" i="3"/>
  <c r="C37" i="3"/>
  <c r="C36" i="3"/>
  <c r="C32" i="3"/>
  <c r="C31" i="3"/>
  <c r="C30" i="3"/>
  <c r="C29" i="3"/>
  <c r="C28" i="3"/>
  <c r="C24" i="3"/>
  <c r="C23" i="3"/>
  <c r="C22" i="3"/>
  <c r="C21" i="3"/>
  <c r="C20" i="3"/>
  <c r="C13" i="3"/>
  <c r="C14" i="3"/>
  <c r="C15" i="3"/>
  <c r="C16" i="3"/>
  <c r="C12" i="3"/>
  <c r="A24" i="19"/>
  <c r="A25" i="19"/>
  <c r="A26" i="19"/>
  <c r="A27" i="19"/>
  <c r="A23" i="19"/>
  <c r="A42" i="19"/>
  <c r="A43" i="19"/>
  <c r="A44" i="19"/>
  <c r="A45" i="19"/>
  <c r="A41" i="19"/>
  <c r="A33" i="19"/>
  <c r="A34" i="19"/>
  <c r="A35" i="19"/>
  <c r="A36" i="19"/>
  <c r="A32" i="19"/>
  <c r="AZ131" i="4" l="1"/>
  <c r="AY131" i="4" s="1"/>
  <c r="AY130" i="4"/>
  <c r="AY382" i="4"/>
  <c r="AZ398" i="4"/>
  <c r="AY398" i="4" s="1"/>
  <c r="AZ390" i="4"/>
  <c r="AY390" i="4" s="1"/>
  <c r="AZ420" i="4"/>
  <c r="AY420" i="4" s="1"/>
  <c r="AZ449" i="4"/>
  <c r="AY449" i="4" s="1"/>
  <c r="AZ443" i="4"/>
  <c r="AY443" i="4" s="1"/>
  <c r="AZ438" i="4"/>
  <c r="AY438" i="4" s="1"/>
  <c r="AZ433" i="4"/>
  <c r="AY433" i="4" s="1"/>
  <c r="AZ472" i="4"/>
  <c r="AY472" i="4" s="1"/>
  <c r="AZ461" i="4"/>
  <c r="AY461" i="4" s="1"/>
  <c r="AZ491" i="4"/>
  <c r="AY491" i="4" s="1"/>
  <c r="AZ485" i="4"/>
  <c r="AY485" i="4" s="1"/>
  <c r="AZ478" i="4"/>
  <c r="AY478" i="4" s="1"/>
  <c r="AZ465" i="4"/>
  <c r="AY465" i="4" s="1"/>
  <c r="AZ455" i="4"/>
  <c r="AY455" i="4" s="1"/>
  <c r="AY60" i="4"/>
  <c r="AZ403" i="4"/>
  <c r="AY403" i="4" s="1"/>
  <c r="AZ395" i="4"/>
  <c r="AY395" i="4" s="1"/>
  <c r="AZ387" i="4"/>
  <c r="AY387" i="4" s="1"/>
  <c r="AZ447" i="4"/>
  <c r="AY447" i="4" s="1"/>
  <c r="AZ442" i="4"/>
  <c r="AY442" i="4" s="1"/>
  <c r="AZ437" i="4"/>
  <c r="AY437" i="4" s="1"/>
  <c r="AZ431" i="4"/>
  <c r="AY431" i="4" s="1"/>
  <c r="AZ471" i="4"/>
  <c r="AY471" i="4" s="1"/>
  <c r="AZ475" i="4"/>
  <c r="AY475" i="4" s="1"/>
  <c r="AZ490" i="4"/>
  <c r="AY490" i="4" s="1"/>
  <c r="AZ132" i="4"/>
  <c r="AZ133" i="4" s="1"/>
  <c r="AZ134" i="4" s="1"/>
  <c r="AZ410" i="4"/>
  <c r="AY410" i="4" s="1"/>
  <c r="AZ414" i="4"/>
  <c r="AY414" i="4" s="1"/>
  <c r="AZ418" i="4"/>
  <c r="AY418" i="4" s="1"/>
  <c r="AZ422" i="4"/>
  <c r="AY422" i="4" s="1"/>
  <c r="AZ426" i="4"/>
  <c r="AY426" i="4" s="1"/>
  <c r="AY405" i="4"/>
  <c r="AZ424" i="4"/>
  <c r="AY424" i="4" s="1"/>
  <c r="AZ419" i="4"/>
  <c r="AY419" i="4" s="1"/>
  <c r="AZ413" i="4"/>
  <c r="AY413" i="4" s="1"/>
  <c r="AZ408" i="4"/>
  <c r="AY408" i="4" s="1"/>
  <c r="AZ454" i="4"/>
  <c r="AY454" i="4" s="1"/>
  <c r="AZ458" i="4"/>
  <c r="AY458" i="4" s="1"/>
  <c r="AZ462" i="4"/>
  <c r="AY462" i="4" s="1"/>
  <c r="AZ466" i="4"/>
  <c r="AY466" i="4" s="1"/>
  <c r="AZ470" i="4"/>
  <c r="AY470" i="4" s="1"/>
  <c r="AZ452" i="4"/>
  <c r="AY452" i="4" s="1"/>
  <c r="AZ469" i="4"/>
  <c r="AY469" i="4" s="1"/>
  <c r="AZ464" i="4"/>
  <c r="AY464" i="4" s="1"/>
  <c r="AZ459" i="4"/>
  <c r="AY459" i="4" s="1"/>
  <c r="AZ453" i="4"/>
  <c r="AY453" i="4" s="1"/>
  <c r="AZ406" i="4"/>
  <c r="AY406" i="4" s="1"/>
  <c r="AZ423" i="4"/>
  <c r="AY423" i="4" s="1"/>
  <c r="AZ417" i="4"/>
  <c r="AY417" i="4" s="1"/>
  <c r="AZ412" i="4"/>
  <c r="AY412" i="4" s="1"/>
  <c r="AZ407" i="4"/>
  <c r="AY407" i="4" s="1"/>
  <c r="AZ473" i="4"/>
  <c r="AY473" i="4" s="1"/>
  <c r="AZ468" i="4"/>
  <c r="AY468" i="4" s="1"/>
  <c r="AZ463" i="4"/>
  <c r="AY463" i="4" s="1"/>
  <c r="AZ457" i="4"/>
  <c r="AY457" i="4" s="1"/>
  <c r="AZ476" i="4"/>
  <c r="AY476" i="4" s="1"/>
  <c r="AZ480" i="4"/>
  <c r="AY480" i="4" s="1"/>
  <c r="AZ484" i="4"/>
  <c r="AY484" i="4" s="1"/>
  <c r="AZ488" i="4"/>
  <c r="AY488" i="4" s="1"/>
  <c r="AZ492" i="4"/>
  <c r="AY492" i="4" s="1"/>
  <c r="AZ496" i="4"/>
  <c r="AY496" i="4" s="1"/>
  <c r="AZ493" i="4"/>
  <c r="AY493" i="4" s="1"/>
  <c r="AZ487" i="4"/>
  <c r="AY487" i="4" s="1"/>
  <c r="AZ482" i="4"/>
  <c r="AY482" i="4" s="1"/>
  <c r="AZ477" i="4"/>
  <c r="AY477" i="4" s="1"/>
  <c r="AZ448" i="4"/>
  <c r="AY448" i="4" s="1"/>
  <c r="AZ444" i="4"/>
  <c r="AY444" i="4" s="1"/>
  <c r="AZ440" i="4"/>
  <c r="AY440" i="4" s="1"/>
  <c r="AZ436" i="4"/>
  <c r="AY436" i="4" s="1"/>
  <c r="AZ432" i="4"/>
  <c r="AY432" i="4" s="1"/>
  <c r="AZ383" i="4"/>
  <c r="AY383" i="4" s="1"/>
  <c r="AZ401" i="4"/>
  <c r="AY401" i="4" s="1"/>
  <c r="AZ397" i="4"/>
  <c r="AY397" i="4" s="1"/>
  <c r="AZ393" i="4"/>
  <c r="AY393" i="4" s="1"/>
  <c r="AZ389" i="4"/>
  <c r="AY389" i="4" s="1"/>
  <c r="AZ385" i="4"/>
  <c r="AY385" i="4" s="1"/>
  <c r="AZ404" i="4"/>
  <c r="AY404" i="4" s="1"/>
  <c r="AZ400" i="4"/>
  <c r="AY400" i="4" s="1"/>
  <c r="AZ396" i="4"/>
  <c r="AY396" i="4" s="1"/>
  <c r="AZ392" i="4"/>
  <c r="AY392" i="4" s="1"/>
  <c r="AZ388" i="4"/>
  <c r="AY388" i="4" s="1"/>
  <c r="AZ135" i="4"/>
  <c r="AY134" i="4"/>
  <c r="AY133" i="4"/>
  <c r="AY132" i="4"/>
  <c r="A15" i="19"/>
  <c r="A16" i="19"/>
  <c r="A17" i="19"/>
  <c r="A18" i="19"/>
  <c r="A14" i="19"/>
  <c r="H7" i="2" l="1"/>
  <c r="AZ136" i="4"/>
  <c r="AY135" i="4"/>
  <c r="AZ137" i="4" l="1"/>
  <c r="AY136" i="4"/>
  <c r="AF239" i="4"/>
  <c r="AF257" i="4"/>
  <c r="AF255" i="4"/>
  <c r="AF234" i="4"/>
  <c r="AF232" i="4"/>
  <c r="AF230" i="4"/>
  <c r="AD359" i="4"/>
  <c r="AD336" i="4"/>
  <c r="AD313" i="4"/>
  <c r="AC313" i="4"/>
  <c r="AD290" i="4"/>
  <c r="AD267" i="4"/>
  <c r="AD244" i="4"/>
  <c r="AD221" i="4"/>
  <c r="AC221" i="4" s="1"/>
  <c r="AD198" i="4"/>
  <c r="AD175" i="4"/>
  <c r="AD152" i="4"/>
  <c r="AD129" i="4"/>
  <c r="AD130" i="4" s="1"/>
  <c r="AD131" i="4" s="1"/>
  <c r="AD132" i="4" s="1"/>
  <c r="AD133" i="4" s="1"/>
  <c r="AD134" i="4" s="1"/>
  <c r="AD135" i="4" s="1"/>
  <c r="AD136" i="4" s="1"/>
  <c r="AD137" i="4" s="1"/>
  <c r="AD138" i="4" s="1"/>
  <c r="AD139" i="4" s="1"/>
  <c r="AD140" i="4" s="1"/>
  <c r="AD141" i="4" s="1"/>
  <c r="AD142" i="4" s="1"/>
  <c r="AD143" i="4" s="1"/>
  <c r="AD144" i="4" s="1"/>
  <c r="AD145" i="4" s="1"/>
  <c r="AD146" i="4" s="1"/>
  <c r="AD147" i="4" s="1"/>
  <c r="AD106" i="4"/>
  <c r="AD83" i="4"/>
  <c r="AD66" i="4" l="1"/>
  <c r="AC66" i="4" s="1"/>
  <c r="AZ81" i="4"/>
  <c r="AY81" i="4" s="1"/>
  <c r="AZ79" i="4"/>
  <c r="AY79" i="4" s="1"/>
  <c r="AZ77" i="4"/>
  <c r="AY77" i="4" s="1"/>
  <c r="AZ75" i="4"/>
  <c r="AY75" i="4" s="1"/>
  <c r="AZ73" i="4"/>
  <c r="AY73" i="4" s="1"/>
  <c r="AZ71" i="4"/>
  <c r="AY71" i="4" s="1"/>
  <c r="AZ69" i="4"/>
  <c r="AY69" i="4" s="1"/>
  <c r="AZ67" i="4"/>
  <c r="AY67" i="4" s="1"/>
  <c r="AZ65" i="4"/>
  <c r="AY65" i="4" s="1"/>
  <c r="AZ63" i="4"/>
  <c r="AY63" i="4" s="1"/>
  <c r="AZ82" i="4"/>
  <c r="AY82" i="4" s="1"/>
  <c r="AZ74" i="4"/>
  <c r="AY74" i="4" s="1"/>
  <c r="AZ66" i="4"/>
  <c r="AY66" i="4" s="1"/>
  <c r="AZ76" i="4"/>
  <c r="AY76" i="4" s="1"/>
  <c r="AZ68" i="4"/>
  <c r="AY68" i="4" s="1"/>
  <c r="AZ78" i="4"/>
  <c r="AY78" i="4" s="1"/>
  <c r="AZ70" i="4"/>
  <c r="AY70" i="4" s="1"/>
  <c r="AZ62" i="4"/>
  <c r="AY62" i="4" s="1"/>
  <c r="AZ80" i="4"/>
  <c r="AY80" i="4" s="1"/>
  <c r="AZ72" i="4"/>
  <c r="AY72" i="4" s="1"/>
  <c r="AZ64" i="4"/>
  <c r="AY64" i="4" s="1"/>
  <c r="AD102" i="4"/>
  <c r="AC102" i="4" s="1"/>
  <c r="AZ105" i="4"/>
  <c r="AY105" i="4" s="1"/>
  <c r="AZ103" i="4"/>
  <c r="AY103" i="4" s="1"/>
  <c r="AZ101" i="4"/>
  <c r="AY101" i="4" s="1"/>
  <c r="AZ99" i="4"/>
  <c r="AY99" i="4" s="1"/>
  <c r="AZ97" i="4"/>
  <c r="AY97" i="4" s="1"/>
  <c r="AZ95" i="4"/>
  <c r="AY95" i="4" s="1"/>
  <c r="AZ93" i="4"/>
  <c r="AY93" i="4" s="1"/>
  <c r="AZ91" i="4"/>
  <c r="AY91" i="4" s="1"/>
  <c r="AZ89" i="4"/>
  <c r="AY89" i="4" s="1"/>
  <c r="AZ87" i="4"/>
  <c r="AY87" i="4" s="1"/>
  <c r="AZ85" i="4"/>
  <c r="AY85" i="4" s="1"/>
  <c r="AZ100" i="4"/>
  <c r="AY100" i="4" s="1"/>
  <c r="AZ92" i="4"/>
  <c r="AY92" i="4" s="1"/>
  <c r="AZ84" i="4"/>
  <c r="AY84" i="4" s="1"/>
  <c r="AZ102" i="4"/>
  <c r="AY102" i="4" s="1"/>
  <c r="AZ94" i="4"/>
  <c r="AY94" i="4" s="1"/>
  <c r="AZ86" i="4"/>
  <c r="AY86" i="4" s="1"/>
  <c r="AZ104" i="4"/>
  <c r="AY104" i="4" s="1"/>
  <c r="AZ96" i="4"/>
  <c r="AY96" i="4" s="1"/>
  <c r="AZ88" i="4"/>
  <c r="AY88" i="4" s="1"/>
  <c r="AZ98" i="4"/>
  <c r="AY98" i="4" s="1"/>
  <c r="AZ90" i="4"/>
  <c r="AY90" i="4" s="1"/>
  <c r="AZ173" i="4"/>
  <c r="AY173" i="4" s="1"/>
  <c r="AZ168" i="4"/>
  <c r="AY168" i="4" s="1"/>
  <c r="AZ165" i="4"/>
  <c r="AY165" i="4" s="1"/>
  <c r="AZ160" i="4"/>
  <c r="AY160" i="4" s="1"/>
  <c r="AZ157" i="4"/>
  <c r="AY157" i="4" s="1"/>
  <c r="AZ170" i="4"/>
  <c r="AY170" i="4" s="1"/>
  <c r="AZ167" i="4"/>
  <c r="AY167" i="4" s="1"/>
  <c r="AZ162" i="4"/>
  <c r="AY162" i="4" s="1"/>
  <c r="AZ159" i="4"/>
  <c r="AY159" i="4" s="1"/>
  <c r="AZ154" i="4"/>
  <c r="AY154" i="4" s="1"/>
  <c r="AZ172" i="4"/>
  <c r="AY172" i="4" s="1"/>
  <c r="AZ169" i="4"/>
  <c r="AY169" i="4" s="1"/>
  <c r="AZ164" i="4"/>
  <c r="AY164" i="4" s="1"/>
  <c r="AZ161" i="4"/>
  <c r="AY161" i="4" s="1"/>
  <c r="AZ156" i="4"/>
  <c r="AY156" i="4" s="1"/>
  <c r="AZ153" i="4"/>
  <c r="AY153" i="4" s="1"/>
  <c r="AZ174" i="4"/>
  <c r="AY174" i="4" s="1"/>
  <c r="AZ171" i="4"/>
  <c r="AY171" i="4" s="1"/>
  <c r="AZ166" i="4"/>
  <c r="AY166" i="4" s="1"/>
  <c r="AZ163" i="4"/>
  <c r="AY163" i="4" s="1"/>
  <c r="AZ158" i="4"/>
  <c r="AY158" i="4" s="1"/>
  <c r="AZ155" i="4"/>
  <c r="AY155" i="4" s="1"/>
  <c r="AD253" i="4"/>
  <c r="AZ262" i="4"/>
  <c r="AY262" i="4" s="1"/>
  <c r="AZ254" i="4"/>
  <c r="AY254" i="4" s="1"/>
  <c r="AZ248" i="4"/>
  <c r="AY248" i="4" s="1"/>
  <c r="AZ245" i="4"/>
  <c r="AY245" i="4" s="1"/>
  <c r="AZ264" i="4"/>
  <c r="AY264" i="4" s="1"/>
  <c r="AZ260" i="4"/>
  <c r="AY260" i="4" s="1"/>
  <c r="AZ252" i="4"/>
  <c r="AY252" i="4" s="1"/>
  <c r="AZ256" i="4"/>
  <c r="AY256" i="4" s="1"/>
  <c r="AZ253" i="4"/>
  <c r="AY253" i="4" s="1"/>
  <c r="AZ247" i="4"/>
  <c r="AY247" i="4" s="1"/>
  <c r="AZ266" i="4"/>
  <c r="AY266" i="4" s="1"/>
  <c r="AZ261" i="4"/>
  <c r="AY261" i="4" s="1"/>
  <c r="AZ251" i="4"/>
  <c r="AY251" i="4" s="1"/>
  <c r="AZ265" i="4"/>
  <c r="AY265" i="4" s="1"/>
  <c r="AZ259" i="4"/>
  <c r="AY259" i="4" s="1"/>
  <c r="AZ257" i="4"/>
  <c r="AY257" i="4" s="1"/>
  <c r="AZ255" i="4"/>
  <c r="AY255" i="4" s="1"/>
  <c r="AZ250" i="4"/>
  <c r="AY250" i="4" s="1"/>
  <c r="AZ246" i="4"/>
  <c r="AY246" i="4" s="1"/>
  <c r="AZ263" i="4"/>
  <c r="AY263" i="4" s="1"/>
  <c r="AZ258" i="4"/>
  <c r="AY258" i="4" s="1"/>
  <c r="AZ249" i="4"/>
  <c r="AY249" i="4" s="1"/>
  <c r="AD327" i="4"/>
  <c r="AZ335" i="4"/>
  <c r="AY335" i="4" s="1"/>
  <c r="AZ332" i="4"/>
  <c r="AY332" i="4" s="1"/>
  <c r="AZ326" i="4"/>
  <c r="AY326" i="4" s="1"/>
  <c r="AZ321" i="4"/>
  <c r="AY321" i="4" s="1"/>
  <c r="AZ315" i="4"/>
  <c r="AY315" i="4" s="1"/>
  <c r="AZ330" i="4"/>
  <c r="AY330" i="4" s="1"/>
  <c r="AZ322" i="4"/>
  <c r="AY322" i="4" s="1"/>
  <c r="AZ318" i="4"/>
  <c r="AY318" i="4" s="1"/>
  <c r="AZ314" i="4"/>
  <c r="AY314" i="4" s="1"/>
  <c r="AZ333" i="4"/>
  <c r="AY333" i="4" s="1"/>
  <c r="AZ329" i="4"/>
  <c r="AY329" i="4" s="1"/>
  <c r="AZ325" i="4"/>
  <c r="AY325" i="4" s="1"/>
  <c r="AZ317" i="4"/>
  <c r="AY317" i="4" s="1"/>
  <c r="AZ324" i="4"/>
  <c r="AY324" i="4" s="1"/>
  <c r="AZ316" i="4"/>
  <c r="AY316" i="4" s="1"/>
  <c r="AZ331" i="4"/>
  <c r="AY331" i="4" s="1"/>
  <c r="AZ323" i="4"/>
  <c r="AY323" i="4" s="1"/>
  <c r="AZ328" i="4"/>
  <c r="AY328" i="4" s="1"/>
  <c r="AZ320" i="4"/>
  <c r="AY320" i="4" s="1"/>
  <c r="AZ334" i="4"/>
  <c r="AY334" i="4" s="1"/>
  <c r="AZ327" i="4"/>
  <c r="AY327" i="4" s="1"/>
  <c r="AZ319" i="4"/>
  <c r="AY319" i="4" s="1"/>
  <c r="AD127" i="4"/>
  <c r="AC127" i="4" s="1"/>
  <c r="AZ127" i="4"/>
  <c r="AY127" i="4" s="1"/>
  <c r="AZ125" i="4"/>
  <c r="AY125" i="4" s="1"/>
  <c r="AZ123" i="4"/>
  <c r="AY123" i="4" s="1"/>
  <c r="AZ121" i="4"/>
  <c r="AY121" i="4" s="1"/>
  <c r="AZ119" i="4"/>
  <c r="AY119" i="4" s="1"/>
  <c r="AZ117" i="4"/>
  <c r="AY117" i="4" s="1"/>
  <c r="AZ115" i="4"/>
  <c r="AY115" i="4" s="1"/>
  <c r="AZ113" i="4"/>
  <c r="AY113" i="4" s="1"/>
  <c r="AZ111" i="4"/>
  <c r="AY111" i="4" s="1"/>
  <c r="AZ109" i="4"/>
  <c r="AY109" i="4" s="1"/>
  <c r="AZ107" i="4"/>
  <c r="AY107" i="4" s="1"/>
  <c r="AZ124" i="4"/>
  <c r="AY124" i="4" s="1"/>
  <c r="AZ116" i="4"/>
  <c r="AY116" i="4" s="1"/>
  <c r="AZ108" i="4"/>
  <c r="AY108" i="4" s="1"/>
  <c r="AZ126" i="4"/>
  <c r="AY126" i="4" s="1"/>
  <c r="AZ118" i="4"/>
  <c r="AY118" i="4" s="1"/>
  <c r="AZ110" i="4"/>
  <c r="AY110" i="4" s="1"/>
  <c r="AZ128" i="4"/>
  <c r="AY128" i="4" s="1"/>
  <c r="AZ120" i="4"/>
  <c r="AY120" i="4" s="1"/>
  <c r="AZ112" i="4"/>
  <c r="AY112" i="4" s="1"/>
  <c r="AZ122" i="4"/>
  <c r="AY122" i="4" s="1"/>
  <c r="AZ114" i="4"/>
  <c r="AY114" i="4" s="1"/>
  <c r="AD193" i="4"/>
  <c r="AC193" i="4" s="1"/>
  <c r="AZ197" i="4"/>
  <c r="AY197" i="4" s="1"/>
  <c r="AZ192" i="4"/>
  <c r="AY192" i="4" s="1"/>
  <c r="AZ189" i="4"/>
  <c r="AY189" i="4" s="1"/>
  <c r="AZ184" i="4"/>
  <c r="AY184" i="4" s="1"/>
  <c r="AZ181" i="4"/>
  <c r="AY181" i="4" s="1"/>
  <c r="AZ176" i="4"/>
  <c r="AY176" i="4" s="1"/>
  <c r="AZ194" i="4"/>
  <c r="AY194" i="4" s="1"/>
  <c r="AZ191" i="4"/>
  <c r="AY191" i="4" s="1"/>
  <c r="AZ186" i="4"/>
  <c r="AY186" i="4" s="1"/>
  <c r="AZ183" i="4"/>
  <c r="AY183" i="4" s="1"/>
  <c r="AZ178" i="4"/>
  <c r="AY178" i="4" s="1"/>
  <c r="AZ196" i="4"/>
  <c r="AY196" i="4" s="1"/>
  <c r="AZ193" i="4"/>
  <c r="AY193" i="4" s="1"/>
  <c r="AZ188" i="4"/>
  <c r="AY188" i="4" s="1"/>
  <c r="AZ185" i="4"/>
  <c r="AY185" i="4" s="1"/>
  <c r="AZ180" i="4"/>
  <c r="AY180" i="4" s="1"/>
  <c r="AZ177" i="4"/>
  <c r="AY177" i="4" s="1"/>
  <c r="AZ195" i="4"/>
  <c r="AY195" i="4" s="1"/>
  <c r="AZ190" i="4"/>
  <c r="AY190" i="4" s="1"/>
  <c r="AZ187" i="4"/>
  <c r="AY187" i="4" s="1"/>
  <c r="AZ182" i="4"/>
  <c r="AY182" i="4" s="1"/>
  <c r="AZ179" i="4"/>
  <c r="AY179" i="4" s="1"/>
  <c r="AD286" i="4"/>
  <c r="AC286" i="4" s="1"/>
  <c r="AZ289" i="4"/>
  <c r="AY289" i="4" s="1"/>
  <c r="AZ283" i="4"/>
  <c r="AY283" i="4" s="1"/>
  <c r="AZ280" i="4"/>
  <c r="AY280" i="4" s="1"/>
  <c r="AZ277" i="4"/>
  <c r="AY277" i="4" s="1"/>
  <c r="AZ274" i="4"/>
  <c r="AY274" i="4" s="1"/>
  <c r="AZ271" i="4"/>
  <c r="AY271" i="4" s="1"/>
  <c r="AZ268" i="4"/>
  <c r="AY268" i="4" s="1"/>
  <c r="AZ287" i="4"/>
  <c r="AY287" i="4" s="1"/>
  <c r="AZ279" i="4"/>
  <c r="AY279" i="4" s="1"/>
  <c r="AZ272" i="4"/>
  <c r="AY272" i="4" s="1"/>
  <c r="AZ286" i="4"/>
  <c r="AY286" i="4" s="1"/>
  <c r="AZ282" i="4"/>
  <c r="AY282" i="4" s="1"/>
  <c r="AZ278" i="4"/>
  <c r="AY278" i="4" s="1"/>
  <c r="AZ275" i="4"/>
  <c r="AY275" i="4" s="1"/>
  <c r="AZ288" i="4"/>
  <c r="AY288" i="4" s="1"/>
  <c r="AZ281" i="4"/>
  <c r="AY281" i="4" s="1"/>
  <c r="AZ273" i="4"/>
  <c r="AY273" i="4" s="1"/>
  <c r="AZ285" i="4"/>
  <c r="AY285" i="4" s="1"/>
  <c r="AZ270" i="4"/>
  <c r="AY270" i="4" s="1"/>
  <c r="AZ284" i="4"/>
  <c r="AY284" i="4" s="1"/>
  <c r="AZ276" i="4"/>
  <c r="AY276" i="4" s="1"/>
  <c r="AZ269" i="4"/>
  <c r="AY269" i="4" s="1"/>
  <c r="AD357" i="4"/>
  <c r="AC357" i="4" s="1"/>
  <c r="AZ358" i="4"/>
  <c r="AY358" i="4" s="1"/>
  <c r="AZ353" i="4"/>
  <c r="AY353" i="4" s="1"/>
  <c r="AZ347" i="4"/>
  <c r="AY347" i="4" s="1"/>
  <c r="AZ344" i="4"/>
  <c r="AY344" i="4" s="1"/>
  <c r="AZ341" i="4"/>
  <c r="AY341" i="4" s="1"/>
  <c r="AZ338" i="4"/>
  <c r="AY338" i="4" s="1"/>
  <c r="AZ357" i="4"/>
  <c r="AY357" i="4" s="1"/>
  <c r="AZ349" i="4"/>
  <c r="AY349" i="4" s="1"/>
  <c r="AZ356" i="4"/>
  <c r="AY356" i="4" s="1"/>
  <c r="AZ352" i="4"/>
  <c r="AY352" i="4" s="1"/>
  <c r="AZ348" i="4"/>
  <c r="AY348" i="4" s="1"/>
  <c r="AZ345" i="4"/>
  <c r="AY345" i="4" s="1"/>
  <c r="AZ340" i="4"/>
  <c r="AY340" i="4" s="1"/>
  <c r="AZ337" i="4"/>
  <c r="AY337" i="4" s="1"/>
  <c r="AZ355" i="4"/>
  <c r="AY355" i="4" s="1"/>
  <c r="AZ354" i="4"/>
  <c r="AY354" i="4" s="1"/>
  <c r="AZ346" i="4"/>
  <c r="AY346" i="4" s="1"/>
  <c r="AZ339" i="4"/>
  <c r="AY339" i="4" s="1"/>
  <c r="AZ351" i="4"/>
  <c r="AY351" i="4" s="1"/>
  <c r="AZ343" i="4"/>
  <c r="AY343" i="4" s="1"/>
  <c r="AZ350" i="4"/>
  <c r="AY350" i="4" s="1"/>
  <c r="AZ342" i="4"/>
  <c r="AY342" i="4" s="1"/>
  <c r="AC129" i="4"/>
  <c r="AZ216" i="4"/>
  <c r="AY216" i="4" s="1"/>
  <c r="AZ213" i="4"/>
  <c r="AY213" i="4" s="1"/>
  <c r="AZ208" i="4"/>
  <c r="AY208" i="4" s="1"/>
  <c r="AZ205" i="4"/>
  <c r="AY205" i="4" s="1"/>
  <c r="AZ200" i="4"/>
  <c r="AY200" i="4" s="1"/>
  <c r="AZ218" i="4"/>
  <c r="AY218" i="4" s="1"/>
  <c r="AZ215" i="4"/>
  <c r="AY215" i="4" s="1"/>
  <c r="AZ210" i="4"/>
  <c r="AY210" i="4" s="1"/>
  <c r="AZ207" i="4"/>
  <c r="AY207" i="4" s="1"/>
  <c r="AZ202" i="4"/>
  <c r="AY202" i="4" s="1"/>
  <c r="AZ199" i="4"/>
  <c r="AY199" i="4" s="1"/>
  <c r="AZ220" i="4"/>
  <c r="AY220" i="4" s="1"/>
  <c r="AZ217" i="4"/>
  <c r="AY217" i="4" s="1"/>
  <c r="AZ212" i="4"/>
  <c r="AY212" i="4" s="1"/>
  <c r="AZ209" i="4"/>
  <c r="AY209" i="4" s="1"/>
  <c r="AZ204" i="4"/>
  <c r="AY204" i="4" s="1"/>
  <c r="AZ201" i="4"/>
  <c r="AY201" i="4" s="1"/>
  <c r="AZ219" i="4"/>
  <c r="AY219" i="4" s="1"/>
  <c r="AZ214" i="4"/>
  <c r="AY214" i="4" s="1"/>
  <c r="AZ211" i="4"/>
  <c r="AY211" i="4" s="1"/>
  <c r="AZ206" i="4"/>
  <c r="AY206" i="4" s="1"/>
  <c r="AZ203" i="4"/>
  <c r="AY203" i="4" s="1"/>
  <c r="AZ312" i="4"/>
  <c r="AY312" i="4" s="1"/>
  <c r="AZ309" i="4"/>
  <c r="AY309" i="4" s="1"/>
  <c r="AZ306" i="4"/>
  <c r="AY306" i="4" s="1"/>
  <c r="AZ303" i="4"/>
  <c r="AY303" i="4" s="1"/>
  <c r="AZ300" i="4"/>
  <c r="AY300" i="4" s="1"/>
  <c r="AZ294" i="4"/>
  <c r="AY294" i="4" s="1"/>
  <c r="AZ310" i="4"/>
  <c r="AY310" i="4" s="1"/>
  <c r="AZ307" i="4"/>
  <c r="AY307" i="4" s="1"/>
  <c r="AZ302" i="4"/>
  <c r="AY302" i="4" s="1"/>
  <c r="AZ299" i="4"/>
  <c r="AY299" i="4" s="1"/>
  <c r="AZ295" i="4"/>
  <c r="AY295" i="4" s="1"/>
  <c r="AZ291" i="4"/>
  <c r="AY291" i="4" s="1"/>
  <c r="AZ298" i="4"/>
  <c r="AY298" i="4" s="1"/>
  <c r="AZ308" i="4"/>
  <c r="AY308" i="4" s="1"/>
  <c r="AZ301" i="4"/>
  <c r="AY301" i="4" s="1"/>
  <c r="AZ293" i="4"/>
  <c r="AY293" i="4" s="1"/>
  <c r="AZ292" i="4"/>
  <c r="AY292" i="4" s="1"/>
  <c r="AZ305" i="4"/>
  <c r="AY305" i="4" s="1"/>
  <c r="AZ297" i="4"/>
  <c r="AY297" i="4" s="1"/>
  <c r="AZ311" i="4"/>
  <c r="AY311" i="4" s="1"/>
  <c r="AZ304" i="4"/>
  <c r="AY304" i="4" s="1"/>
  <c r="AZ296" i="4"/>
  <c r="AY296" i="4" s="1"/>
  <c r="AD381" i="4"/>
  <c r="AC381" i="4" s="1"/>
  <c r="AZ379" i="4"/>
  <c r="AY379" i="4" s="1"/>
  <c r="AZ376" i="4"/>
  <c r="AY376" i="4" s="1"/>
  <c r="AZ373" i="4"/>
  <c r="AY373" i="4" s="1"/>
  <c r="AZ370" i="4"/>
  <c r="AY370" i="4" s="1"/>
  <c r="AZ367" i="4"/>
  <c r="AY367" i="4" s="1"/>
  <c r="AZ364" i="4"/>
  <c r="AY364" i="4" s="1"/>
  <c r="AZ380" i="4"/>
  <c r="AY380" i="4" s="1"/>
  <c r="AZ377" i="4"/>
  <c r="AY377" i="4" s="1"/>
  <c r="AZ372" i="4"/>
  <c r="AY372" i="4" s="1"/>
  <c r="AZ369" i="4"/>
  <c r="AY369" i="4" s="1"/>
  <c r="AZ365" i="4"/>
  <c r="AY365" i="4" s="1"/>
  <c r="AZ361" i="4"/>
  <c r="AY361" i="4" s="1"/>
  <c r="AZ375" i="4"/>
  <c r="AY375" i="4" s="1"/>
  <c r="AZ368" i="4"/>
  <c r="AY368" i="4" s="1"/>
  <c r="AZ360" i="4"/>
  <c r="AY360" i="4" s="1"/>
  <c r="AZ378" i="4"/>
  <c r="AY378" i="4" s="1"/>
  <c r="AZ371" i="4"/>
  <c r="AY371" i="4" s="1"/>
  <c r="AZ363" i="4"/>
  <c r="AY363" i="4" s="1"/>
  <c r="AZ362" i="4"/>
  <c r="AY362" i="4" s="1"/>
  <c r="AZ374" i="4"/>
  <c r="AY374" i="4" s="1"/>
  <c r="AZ366" i="4"/>
  <c r="AY366" i="4" s="1"/>
  <c r="AZ381" i="4"/>
  <c r="AY381" i="4" s="1"/>
  <c r="AY137" i="4"/>
  <c r="AZ138" i="4"/>
  <c r="AC267" i="4"/>
  <c r="AD63" i="4"/>
  <c r="AD240" i="4"/>
  <c r="AC240" i="4" s="1"/>
  <c r="AD75" i="4"/>
  <c r="AD69" i="4"/>
  <c r="AD279" i="4"/>
  <c r="AD324" i="4"/>
  <c r="AD317" i="4"/>
  <c r="AD372" i="4"/>
  <c r="AD186" i="4"/>
  <c r="AD259" i="4"/>
  <c r="AD360" i="4"/>
  <c r="AD255" i="4"/>
  <c r="AD284" i="4"/>
  <c r="AD273" i="4"/>
  <c r="AD376" i="4"/>
  <c r="AD369" i="4"/>
  <c r="AD249" i="4"/>
  <c r="AD283" i="4"/>
  <c r="AD272" i="4"/>
  <c r="AD328" i="4"/>
  <c r="AC359" i="4"/>
  <c r="AD375" i="4"/>
  <c r="AD367" i="4"/>
  <c r="AD181" i="4"/>
  <c r="AC181" i="4" s="1"/>
  <c r="AD287" i="4"/>
  <c r="AC287" i="4" s="1"/>
  <c r="AD377" i="4"/>
  <c r="AC377" i="4" s="1"/>
  <c r="AD365" i="4"/>
  <c r="AD277" i="4"/>
  <c r="AD371" i="4"/>
  <c r="AD364" i="4"/>
  <c r="AD263" i="4"/>
  <c r="AC263" i="4" s="1"/>
  <c r="AD380" i="4"/>
  <c r="AC380" i="4" s="1"/>
  <c r="AD361" i="4"/>
  <c r="AD82" i="4"/>
  <c r="AC82" i="4" s="1"/>
  <c r="AD288" i="4"/>
  <c r="AC288" i="4" s="1"/>
  <c r="AD379" i="4"/>
  <c r="AC379" i="4" s="1"/>
  <c r="AD120" i="4"/>
  <c r="AD115" i="4"/>
  <c r="AD110" i="4"/>
  <c r="AD128" i="4"/>
  <c r="AC128" i="4" s="1"/>
  <c r="AD73" i="4"/>
  <c r="AD68" i="4"/>
  <c r="AD62" i="4"/>
  <c r="AD107" i="4"/>
  <c r="AD119" i="4"/>
  <c r="AD114" i="4"/>
  <c r="AD108" i="4"/>
  <c r="AD185" i="4"/>
  <c r="AD81" i="4"/>
  <c r="AC81" i="4" s="1"/>
  <c r="AD126" i="4"/>
  <c r="AC126" i="4" s="1"/>
  <c r="AD227" i="4"/>
  <c r="AC227" i="4" s="1"/>
  <c r="AD61" i="4"/>
  <c r="AD72" i="4"/>
  <c r="AD67" i="4"/>
  <c r="AD123" i="4"/>
  <c r="AD118" i="4"/>
  <c r="AD112" i="4"/>
  <c r="AD192" i="4"/>
  <c r="AD180" i="4"/>
  <c r="AD254" i="4"/>
  <c r="AD281" i="4"/>
  <c r="AD276" i="4"/>
  <c r="AD271" i="4"/>
  <c r="AD323" i="4"/>
  <c r="AD80" i="4"/>
  <c r="AC80" i="4" s="1"/>
  <c r="AD125" i="4"/>
  <c r="AC125" i="4" s="1"/>
  <c r="AD196" i="4"/>
  <c r="AC196" i="4" s="1"/>
  <c r="AD262" i="4"/>
  <c r="AC262" i="4" s="1"/>
  <c r="AD285" i="4"/>
  <c r="AC285" i="4" s="1"/>
  <c r="AD76" i="4"/>
  <c r="AD71" i="4"/>
  <c r="AD64" i="4"/>
  <c r="AC106" i="4"/>
  <c r="AD122" i="4"/>
  <c r="AD116" i="4"/>
  <c r="AD111" i="4"/>
  <c r="AD190" i="4"/>
  <c r="AD179" i="4"/>
  <c r="AD261" i="4"/>
  <c r="AD250" i="4"/>
  <c r="AD268" i="4"/>
  <c r="AD280" i="4"/>
  <c r="AD275" i="4"/>
  <c r="AD269" i="4"/>
  <c r="AD329" i="4"/>
  <c r="AD319" i="4"/>
  <c r="AD373" i="4"/>
  <c r="AD368" i="4"/>
  <c r="AD363" i="4"/>
  <c r="AD78" i="4"/>
  <c r="AC78" i="4" s="1"/>
  <c r="AD124" i="4"/>
  <c r="AC124" i="4" s="1"/>
  <c r="AD195" i="4"/>
  <c r="AC195" i="4" s="1"/>
  <c r="AD289" i="4"/>
  <c r="AC289" i="4" s="1"/>
  <c r="AD332" i="4"/>
  <c r="AC332" i="4" s="1"/>
  <c r="AD378" i="4"/>
  <c r="AC378" i="4" s="1"/>
  <c r="AC147" i="4"/>
  <c r="AD148" i="4"/>
  <c r="AD149" i="4" s="1"/>
  <c r="AD150" i="4" s="1"/>
  <c r="AD172" i="4"/>
  <c r="AC172" i="4" s="1"/>
  <c r="AD157" i="4"/>
  <c r="AD161" i="4"/>
  <c r="AD165" i="4"/>
  <c r="AD169" i="4"/>
  <c r="AD160" i="4"/>
  <c r="AD219" i="4"/>
  <c r="AC219" i="4" s="1"/>
  <c r="AD203" i="4"/>
  <c r="AD208" i="4"/>
  <c r="AD212" i="4"/>
  <c r="AD199" i="4"/>
  <c r="AD216" i="4"/>
  <c r="AC216" i="4" s="1"/>
  <c r="AD220" i="4"/>
  <c r="AC220" i="4" s="1"/>
  <c r="AD211" i="4"/>
  <c r="AD200" i="4"/>
  <c r="AD309" i="4"/>
  <c r="AC309" i="4" s="1"/>
  <c r="AD292" i="4"/>
  <c r="AD296" i="4"/>
  <c r="AD300" i="4"/>
  <c r="AD304" i="4"/>
  <c r="AD291" i="4"/>
  <c r="AD312" i="4"/>
  <c r="AC312" i="4" s="1"/>
  <c r="AD298" i="4"/>
  <c r="AD293" i="4"/>
  <c r="AD350" i="4"/>
  <c r="AD339" i="4"/>
  <c r="AD105" i="4"/>
  <c r="AC105" i="4" s="1"/>
  <c r="AD174" i="4"/>
  <c r="AC174" i="4" s="1"/>
  <c r="AD218" i="4"/>
  <c r="AC218" i="4" s="1"/>
  <c r="AD310" i="4"/>
  <c r="AC310" i="4" s="1"/>
  <c r="AD84" i="4"/>
  <c r="AD90" i="4"/>
  <c r="AD153" i="4"/>
  <c r="AD154" i="4"/>
  <c r="AD215" i="4"/>
  <c r="AD205" i="4"/>
  <c r="AD337" i="4"/>
  <c r="AD343" i="4"/>
  <c r="AD158" i="4"/>
  <c r="AD177" i="4"/>
  <c r="AD202" i="4"/>
  <c r="AD295" i="4"/>
  <c r="AD347" i="4"/>
  <c r="AD171" i="4"/>
  <c r="AC171" i="4" s="1"/>
  <c r="AC83" i="4"/>
  <c r="AD103" i="4"/>
  <c r="AC103" i="4" s="1"/>
  <c r="AD87" i="4"/>
  <c r="AD91" i="4"/>
  <c r="AD95" i="4"/>
  <c r="AD99" i="4"/>
  <c r="AD97" i="4"/>
  <c r="AD92" i="4"/>
  <c r="AD86" i="4"/>
  <c r="AD166" i="4"/>
  <c r="AD155" i="4"/>
  <c r="AD206" i="4"/>
  <c r="AD303" i="4"/>
  <c r="AD358" i="4"/>
  <c r="AC358" i="4" s="1"/>
  <c r="AD340" i="4"/>
  <c r="AD344" i="4"/>
  <c r="AD348" i="4"/>
  <c r="AD352" i="4"/>
  <c r="AC336" i="4"/>
  <c r="AD356" i="4"/>
  <c r="AC356" i="4" s="1"/>
  <c r="AD345" i="4"/>
  <c r="AD354" i="4"/>
  <c r="AC354" i="4" s="1"/>
  <c r="AD96" i="4"/>
  <c r="AD85" i="4"/>
  <c r="AD164" i="4"/>
  <c r="AD159" i="4"/>
  <c r="AD210" i="4"/>
  <c r="AD307" i="4"/>
  <c r="AD302" i="4"/>
  <c r="AD297" i="4"/>
  <c r="AD349" i="4"/>
  <c r="AD338" i="4"/>
  <c r="AD104" i="4"/>
  <c r="AC104" i="4" s="1"/>
  <c r="AD204" i="4"/>
  <c r="AC204" i="4" s="1"/>
  <c r="AD173" i="4"/>
  <c r="AC173" i="4" s="1"/>
  <c r="AD217" i="4"/>
  <c r="AC217" i="4" s="1"/>
  <c r="AD308" i="4"/>
  <c r="AC308" i="4" s="1"/>
  <c r="AD100" i="4"/>
  <c r="AD94" i="4"/>
  <c r="AD89" i="4"/>
  <c r="AD168" i="4"/>
  <c r="AD163" i="4"/>
  <c r="AD194" i="4"/>
  <c r="AC194" i="4" s="1"/>
  <c r="AD178" i="4"/>
  <c r="AD183" i="4"/>
  <c r="AD187" i="4"/>
  <c r="AD191" i="4"/>
  <c r="AC175" i="4"/>
  <c r="AD197" i="4"/>
  <c r="AC197" i="4" s="1"/>
  <c r="AD189" i="4"/>
  <c r="AD184" i="4"/>
  <c r="AD214" i="4"/>
  <c r="AD209" i="4"/>
  <c r="AC244" i="4"/>
  <c r="AD264" i="4"/>
  <c r="AC264" i="4" s="1"/>
  <c r="AD248" i="4"/>
  <c r="AD252" i="4"/>
  <c r="AD256" i="4"/>
  <c r="AD260" i="4"/>
  <c r="AD265" i="4"/>
  <c r="AC265" i="4" s="1"/>
  <c r="AD258" i="4"/>
  <c r="AD247" i="4"/>
  <c r="AD306" i="4"/>
  <c r="AD301" i="4"/>
  <c r="AD334" i="4"/>
  <c r="AC334" i="4" s="1"/>
  <c r="AD318" i="4"/>
  <c r="AD322" i="4"/>
  <c r="AD326" i="4"/>
  <c r="AD330" i="4"/>
  <c r="AD331" i="4"/>
  <c r="AC331" i="4" s="1"/>
  <c r="AD335" i="4"/>
  <c r="AC335" i="4" s="1"/>
  <c r="AD321" i="4"/>
  <c r="AD316" i="4"/>
  <c r="AD353" i="4"/>
  <c r="AD342" i="4"/>
  <c r="AD98" i="4"/>
  <c r="AD93" i="4"/>
  <c r="AD88" i="4"/>
  <c r="AC152" i="4"/>
  <c r="AD167" i="4"/>
  <c r="AD162" i="4"/>
  <c r="AD156" i="4"/>
  <c r="AD176" i="4"/>
  <c r="AD188" i="4"/>
  <c r="AD182" i="4"/>
  <c r="AC198" i="4"/>
  <c r="AD213" i="4"/>
  <c r="AD207" i="4"/>
  <c r="AD201" i="4"/>
  <c r="AD245" i="4"/>
  <c r="AD257" i="4"/>
  <c r="AD251" i="4"/>
  <c r="AD246" i="4"/>
  <c r="AC290" i="4"/>
  <c r="AD305" i="4"/>
  <c r="AD299" i="4"/>
  <c r="AD294" i="4"/>
  <c r="AD314" i="4"/>
  <c r="AD325" i="4"/>
  <c r="AD320" i="4"/>
  <c r="AD315" i="4"/>
  <c r="AD351" i="4"/>
  <c r="AD346" i="4"/>
  <c r="AD341" i="4"/>
  <c r="AD101" i="4"/>
  <c r="AC101" i="4" s="1"/>
  <c r="AD170" i="4"/>
  <c r="AC170" i="4" s="1"/>
  <c r="AD266" i="4"/>
  <c r="AC266" i="4" s="1"/>
  <c r="AD311" i="4"/>
  <c r="AC311" i="4" s="1"/>
  <c r="AD333" i="4"/>
  <c r="AC333" i="4" s="1"/>
  <c r="AD355" i="4"/>
  <c r="AC355" i="4" s="1"/>
  <c r="AD74" i="4"/>
  <c r="AD70" i="4"/>
  <c r="AD65" i="4"/>
  <c r="AD77" i="4"/>
  <c r="AD121" i="4"/>
  <c r="AD117" i="4"/>
  <c r="AD113" i="4"/>
  <c r="AD109" i="4"/>
  <c r="AD282" i="4"/>
  <c r="AD278" i="4"/>
  <c r="AD274" i="4"/>
  <c r="AD270" i="4"/>
  <c r="AD374" i="4"/>
  <c r="AD370" i="4"/>
  <c r="AD366" i="4"/>
  <c r="AD362" i="4"/>
  <c r="AD79" i="4"/>
  <c r="AC79" i="4" s="1"/>
  <c r="AD241" i="4"/>
  <c r="AC241" i="4" s="1"/>
  <c r="AD243" i="4"/>
  <c r="AC243" i="4" s="1"/>
  <c r="AD239" i="4"/>
  <c r="AC239" i="4" s="1"/>
  <c r="AD242" i="4"/>
  <c r="AC242" i="4" s="1"/>
  <c r="AC149" i="4"/>
  <c r="AD236" i="4"/>
  <c r="AD232" i="4"/>
  <c r="AD228" i="4"/>
  <c r="AD223" i="4"/>
  <c r="AD222" i="4"/>
  <c r="AD235" i="4"/>
  <c r="AD231" i="4"/>
  <c r="AD226" i="4"/>
  <c r="AD238" i="4"/>
  <c r="AD234" i="4"/>
  <c r="AD230" i="4"/>
  <c r="AD225" i="4"/>
  <c r="AD237" i="4"/>
  <c r="AD233" i="4"/>
  <c r="AD229" i="4"/>
  <c r="AD224" i="4"/>
  <c r="AZ139" i="4" l="1"/>
  <c r="AY138" i="4"/>
  <c r="AC148" i="4"/>
  <c r="AD151" i="4"/>
  <c r="AC151" i="4" s="1"/>
  <c r="AC150" i="4"/>
  <c r="C6" i="3"/>
  <c r="C7" i="3"/>
  <c r="C8" i="3"/>
  <c r="C5" i="3"/>
  <c r="AC382" i="4"/>
  <c r="AC376" i="4"/>
  <c r="AC375" i="4"/>
  <c r="AC374" i="4"/>
  <c r="AC373" i="4"/>
  <c r="AC372" i="4"/>
  <c r="AC371" i="4"/>
  <c r="AC370" i="4"/>
  <c r="AC369" i="4"/>
  <c r="AC368" i="4"/>
  <c r="AC367" i="4"/>
  <c r="AC366" i="4"/>
  <c r="AC365" i="4"/>
  <c r="AC364" i="4"/>
  <c r="AC363" i="4"/>
  <c r="AC362" i="4"/>
  <c r="AC361" i="4"/>
  <c r="AC360" i="4"/>
  <c r="AY139" i="4" l="1"/>
  <c r="AZ140" i="4"/>
  <c r="AC353" i="4"/>
  <c r="AC352" i="4"/>
  <c r="AC351" i="4"/>
  <c r="AC350" i="4"/>
  <c r="AC349" i="4"/>
  <c r="AC348" i="4"/>
  <c r="AC347" i="4"/>
  <c r="AC346" i="4"/>
  <c r="AC345" i="4"/>
  <c r="AC344" i="4"/>
  <c r="AC343" i="4"/>
  <c r="AC342" i="4"/>
  <c r="AC341" i="4"/>
  <c r="AC340" i="4"/>
  <c r="AC339" i="4"/>
  <c r="AC338" i="4"/>
  <c r="AC337" i="4"/>
  <c r="AC330" i="4"/>
  <c r="AC329" i="4"/>
  <c r="AC328" i="4"/>
  <c r="AC327" i="4"/>
  <c r="AC326" i="4"/>
  <c r="AC325" i="4"/>
  <c r="AC324" i="4"/>
  <c r="AC323" i="4"/>
  <c r="AC322" i="4"/>
  <c r="AC321" i="4"/>
  <c r="AC320" i="4"/>
  <c r="AC319" i="4"/>
  <c r="AC318" i="4"/>
  <c r="AC317" i="4"/>
  <c r="AC316" i="4"/>
  <c r="AC315" i="4"/>
  <c r="AC314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84" i="4"/>
  <c r="AC283" i="4"/>
  <c r="AC282" i="4"/>
  <c r="AC281" i="4"/>
  <c r="AC280" i="4"/>
  <c r="AC279" i="4"/>
  <c r="AC278" i="4"/>
  <c r="AC277" i="4"/>
  <c r="AC276" i="4"/>
  <c r="AC275" i="4"/>
  <c r="AC274" i="4"/>
  <c r="AC273" i="4"/>
  <c r="AC272" i="4"/>
  <c r="AC271" i="4"/>
  <c r="AC270" i="4"/>
  <c r="AC269" i="4"/>
  <c r="AC268" i="4"/>
  <c r="AZ141" i="4" l="1"/>
  <c r="AY140" i="4"/>
  <c r="AC261" i="4"/>
  <c r="AC260" i="4"/>
  <c r="AC259" i="4"/>
  <c r="AC258" i="4"/>
  <c r="AC257" i="4"/>
  <c r="AC256" i="4"/>
  <c r="AC255" i="4"/>
  <c r="AC254" i="4"/>
  <c r="AC253" i="4"/>
  <c r="AC252" i="4"/>
  <c r="AC251" i="4"/>
  <c r="AC250" i="4"/>
  <c r="AC249" i="4"/>
  <c r="AC248" i="4"/>
  <c r="AC247" i="4"/>
  <c r="AC246" i="4"/>
  <c r="AC245" i="4"/>
  <c r="AZ142" i="4" l="1"/>
  <c r="AY141" i="4"/>
  <c r="A51" i="1"/>
  <c r="A52" i="1"/>
  <c r="A53" i="1"/>
  <c r="A54" i="1"/>
  <c r="A55" i="1"/>
  <c r="A56" i="1"/>
  <c r="A57" i="1"/>
  <c r="A58" i="1"/>
  <c r="A59" i="1"/>
  <c r="A50" i="1"/>
  <c r="A38" i="1"/>
  <c r="A39" i="1"/>
  <c r="A40" i="1"/>
  <c r="A41" i="1"/>
  <c r="A42" i="1"/>
  <c r="A43" i="1"/>
  <c r="A44" i="1"/>
  <c r="A45" i="1"/>
  <c r="A46" i="1"/>
  <c r="A37" i="1"/>
  <c r="A25" i="1"/>
  <c r="A26" i="1"/>
  <c r="A27" i="1"/>
  <c r="A28" i="1"/>
  <c r="A29" i="1"/>
  <c r="A30" i="1"/>
  <c r="A31" i="1"/>
  <c r="A32" i="1"/>
  <c r="A33" i="1"/>
  <c r="A24" i="1"/>
  <c r="A12" i="1"/>
  <c r="A13" i="1"/>
  <c r="A14" i="1"/>
  <c r="A15" i="1"/>
  <c r="A16" i="1"/>
  <c r="A17" i="1"/>
  <c r="A18" i="1"/>
  <c r="A19" i="1"/>
  <c r="A20" i="1"/>
  <c r="A11" i="1"/>
  <c r="AZ143" i="4" l="1"/>
  <c r="AY142" i="4"/>
  <c r="AC223" i="4"/>
  <c r="AC224" i="4"/>
  <c r="AC225" i="4"/>
  <c r="AC226" i="4"/>
  <c r="AC228" i="4"/>
  <c r="AC229" i="4"/>
  <c r="AC230" i="4"/>
  <c r="AC231" i="4"/>
  <c r="AC232" i="4"/>
  <c r="AC233" i="4"/>
  <c r="AC234" i="4"/>
  <c r="AC235" i="4"/>
  <c r="AC236" i="4"/>
  <c r="AC237" i="4"/>
  <c r="AC238" i="4"/>
  <c r="AF236" i="4"/>
  <c r="AF228" i="4"/>
  <c r="AF226" i="4"/>
  <c r="AF224" i="4"/>
  <c r="AF223" i="4"/>
  <c r="AF222" i="4"/>
  <c r="AF221" i="4"/>
  <c r="AC222" i="4"/>
  <c r="AZ144" i="4" l="1"/>
  <c r="AY143" i="4"/>
  <c r="AC212" i="4"/>
  <c r="AC189" i="4"/>
  <c r="AC166" i="4"/>
  <c r="AC143" i="4"/>
  <c r="AL335" i="4"/>
  <c r="AL331" i="4"/>
  <c r="AL330" i="4"/>
  <c r="AL329" i="4"/>
  <c r="AL328" i="4"/>
  <c r="AL327" i="4"/>
  <c r="AL326" i="4"/>
  <c r="AL291" i="4"/>
  <c r="AL289" i="4"/>
  <c r="AL215" i="4"/>
  <c r="AL211" i="4"/>
  <c r="AI326" i="4"/>
  <c r="AI327" i="4"/>
  <c r="AI328" i="4"/>
  <c r="AI329" i="4"/>
  <c r="AI288" i="4"/>
  <c r="AI289" i="4"/>
  <c r="AI290" i="4"/>
  <c r="AI291" i="4"/>
  <c r="AI284" i="4"/>
  <c r="AI285" i="4"/>
  <c r="AI286" i="4"/>
  <c r="AI287" i="4"/>
  <c r="AI208" i="4"/>
  <c r="AI209" i="4"/>
  <c r="AI210" i="4"/>
  <c r="AI211" i="4"/>
  <c r="AI212" i="4"/>
  <c r="AI213" i="4"/>
  <c r="AI214" i="4"/>
  <c r="AI215" i="4"/>
  <c r="AI136" i="4"/>
  <c r="AI137" i="4"/>
  <c r="AI138" i="4"/>
  <c r="AI139" i="4"/>
  <c r="AI132" i="4"/>
  <c r="AI133" i="4"/>
  <c r="AI134" i="4"/>
  <c r="AI135" i="4"/>
  <c r="AI60" i="4"/>
  <c r="AI61" i="4"/>
  <c r="AI62" i="4"/>
  <c r="AI63" i="4"/>
  <c r="AI363" i="4"/>
  <c r="AI362" i="4"/>
  <c r="AI361" i="4"/>
  <c r="AI360" i="4"/>
  <c r="AI359" i="4"/>
  <c r="AI358" i="4"/>
  <c r="AI357" i="4"/>
  <c r="AI356" i="4"/>
  <c r="AI355" i="4"/>
  <c r="AI354" i="4"/>
  <c r="AI353" i="4"/>
  <c r="AI352" i="4"/>
  <c r="AI351" i="4"/>
  <c r="AI350" i="4"/>
  <c r="AI349" i="4"/>
  <c r="AI347" i="4"/>
  <c r="AI346" i="4"/>
  <c r="AI344" i="4"/>
  <c r="AI343" i="4"/>
  <c r="AI342" i="4"/>
  <c r="AI341" i="4"/>
  <c r="AI340" i="4"/>
  <c r="AI339" i="4"/>
  <c r="AI338" i="4"/>
  <c r="AI337" i="4"/>
  <c r="AI336" i="4"/>
  <c r="AI335" i="4"/>
  <c r="AI334" i="4"/>
  <c r="AI333" i="4"/>
  <c r="AI332" i="4"/>
  <c r="AI331" i="4"/>
  <c r="AI330" i="4"/>
  <c r="AL305" i="4"/>
  <c r="AL303" i="4"/>
  <c r="AL301" i="4"/>
  <c r="AL300" i="4"/>
  <c r="AL299" i="4"/>
  <c r="AL297" i="4"/>
  <c r="AL296" i="4"/>
  <c r="AL295" i="4"/>
  <c r="AL294" i="4"/>
  <c r="AL293" i="4"/>
  <c r="AL292" i="4"/>
  <c r="AL263" i="4"/>
  <c r="AL259" i="4"/>
  <c r="AL257" i="4"/>
  <c r="AL255" i="4"/>
  <c r="AL254" i="4"/>
  <c r="AL252" i="4"/>
  <c r="AL251" i="4"/>
  <c r="AL250" i="4"/>
  <c r="AI325" i="4"/>
  <c r="AI324" i="4"/>
  <c r="AI323" i="4"/>
  <c r="AI322" i="4"/>
  <c r="AI321" i="4"/>
  <c r="AI320" i="4"/>
  <c r="AI319" i="4"/>
  <c r="AI318" i="4"/>
  <c r="AI317" i="4"/>
  <c r="AI316" i="4"/>
  <c r="AI315" i="4"/>
  <c r="AI314" i="4"/>
  <c r="AI313" i="4"/>
  <c r="AI312" i="4"/>
  <c r="AI311" i="4"/>
  <c r="AI309" i="4"/>
  <c r="AI308" i="4"/>
  <c r="AI306" i="4"/>
  <c r="AI305" i="4"/>
  <c r="AI304" i="4"/>
  <c r="AI303" i="4"/>
  <c r="AI302" i="4"/>
  <c r="AI301" i="4"/>
  <c r="AI300" i="4"/>
  <c r="AI299" i="4"/>
  <c r="AI298" i="4"/>
  <c r="AI297" i="4"/>
  <c r="AI296" i="4"/>
  <c r="AI295" i="4"/>
  <c r="AI294" i="4"/>
  <c r="AI293" i="4"/>
  <c r="AI292" i="4"/>
  <c r="AI283" i="4"/>
  <c r="AI282" i="4"/>
  <c r="AI281" i="4"/>
  <c r="AI280" i="4"/>
  <c r="AI279" i="4"/>
  <c r="AI278" i="4"/>
  <c r="AI277" i="4"/>
  <c r="AI276" i="4"/>
  <c r="AI275" i="4"/>
  <c r="AI274" i="4"/>
  <c r="AI273" i="4"/>
  <c r="AI272" i="4"/>
  <c r="AI271" i="4"/>
  <c r="AI270" i="4"/>
  <c r="AI269" i="4"/>
  <c r="AI267" i="4"/>
  <c r="AI266" i="4"/>
  <c r="AI264" i="4"/>
  <c r="AI263" i="4"/>
  <c r="AI262" i="4"/>
  <c r="AI261" i="4"/>
  <c r="AI260" i="4"/>
  <c r="AI259" i="4"/>
  <c r="AI258" i="4"/>
  <c r="AI257" i="4"/>
  <c r="AI256" i="4"/>
  <c r="AI255" i="4"/>
  <c r="AI254" i="4"/>
  <c r="AI253" i="4"/>
  <c r="AI252" i="4"/>
  <c r="AI251" i="4"/>
  <c r="AI250" i="4"/>
  <c r="AI249" i="4"/>
  <c r="AI248" i="4"/>
  <c r="AI247" i="4"/>
  <c r="AI246" i="4"/>
  <c r="AI245" i="4"/>
  <c r="AI244" i="4"/>
  <c r="AI243" i="4"/>
  <c r="AI242" i="4"/>
  <c r="AI241" i="4"/>
  <c r="AI240" i="4"/>
  <c r="AI239" i="4"/>
  <c r="AI238" i="4"/>
  <c r="AI237" i="4"/>
  <c r="AI236" i="4"/>
  <c r="AI235" i="4"/>
  <c r="AI233" i="4"/>
  <c r="AI232" i="4"/>
  <c r="AI230" i="4"/>
  <c r="AI229" i="4"/>
  <c r="AI228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74" i="4"/>
  <c r="AI108" i="4"/>
  <c r="AI150" i="4"/>
  <c r="AI184" i="4"/>
  <c r="AL174" i="4"/>
  <c r="AR140" i="4"/>
  <c r="AR141" i="4"/>
  <c r="AR144" i="4"/>
  <c r="AR145" i="4"/>
  <c r="AR147" i="4"/>
  <c r="AI175" i="4"/>
  <c r="AI176" i="4"/>
  <c r="AI177" i="4"/>
  <c r="AI178" i="4"/>
  <c r="AI179" i="4"/>
  <c r="AI180" i="4"/>
  <c r="AI181" i="4"/>
  <c r="AI182" i="4"/>
  <c r="AI183" i="4"/>
  <c r="AI185" i="4"/>
  <c r="AI186" i="4"/>
  <c r="AI187" i="4"/>
  <c r="AI188" i="4"/>
  <c r="AI190" i="4"/>
  <c r="AI191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174" i="4"/>
  <c r="AI146" i="4"/>
  <c r="AI104" i="4"/>
  <c r="AI70" i="4"/>
  <c r="AI140" i="4"/>
  <c r="AI98" i="4"/>
  <c r="AI64" i="4"/>
  <c r="AI141" i="4"/>
  <c r="AI142" i="4"/>
  <c r="AI143" i="4"/>
  <c r="AI144" i="4"/>
  <c r="AI145" i="4"/>
  <c r="AI147" i="4"/>
  <c r="AI105" i="4"/>
  <c r="AI71" i="4"/>
  <c r="AI99" i="4"/>
  <c r="AI100" i="4"/>
  <c r="AI101" i="4"/>
  <c r="AI102" i="4"/>
  <c r="AI65" i="4"/>
  <c r="AI66" i="4"/>
  <c r="AI67" i="4"/>
  <c r="AI68" i="4"/>
  <c r="AZ145" i="4" l="1"/>
  <c r="AY144" i="4"/>
  <c r="AI173" i="4"/>
  <c r="AI172" i="4"/>
  <c r="AI171" i="4"/>
  <c r="AI170" i="4"/>
  <c r="AI169" i="4"/>
  <c r="AI168" i="4"/>
  <c r="AI167" i="4"/>
  <c r="AI166" i="4"/>
  <c r="AI165" i="4"/>
  <c r="AI164" i="4"/>
  <c r="AI163" i="4"/>
  <c r="AI162" i="4"/>
  <c r="AI161" i="4"/>
  <c r="AI160" i="4"/>
  <c r="AI159" i="4"/>
  <c r="AI157" i="4"/>
  <c r="AI156" i="4"/>
  <c r="AI154" i="4"/>
  <c r="AI153" i="4"/>
  <c r="AI152" i="4"/>
  <c r="AI151" i="4"/>
  <c r="AI149" i="4"/>
  <c r="AI148" i="4"/>
  <c r="AI131" i="4"/>
  <c r="AI130" i="4"/>
  <c r="AI129" i="4"/>
  <c r="AI128" i="4"/>
  <c r="AI127" i="4"/>
  <c r="AI126" i="4"/>
  <c r="AI125" i="4"/>
  <c r="AI124" i="4"/>
  <c r="AI123" i="4"/>
  <c r="AI122" i="4"/>
  <c r="AI121" i="4"/>
  <c r="AI120" i="4"/>
  <c r="AI119" i="4"/>
  <c r="AI118" i="4"/>
  <c r="AI117" i="4"/>
  <c r="AI115" i="4"/>
  <c r="AI114" i="4"/>
  <c r="AI112" i="4"/>
  <c r="AI111" i="4"/>
  <c r="AI110" i="4"/>
  <c r="AI109" i="4"/>
  <c r="AI107" i="4"/>
  <c r="AI106" i="4"/>
  <c r="AI103" i="4"/>
  <c r="AI72" i="4"/>
  <c r="AI73" i="4"/>
  <c r="AI75" i="4"/>
  <c r="AI76" i="4"/>
  <c r="AI77" i="4"/>
  <c r="AI78" i="4"/>
  <c r="AI80" i="4"/>
  <c r="AI81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69" i="4"/>
  <c r="AC202" i="4"/>
  <c r="AC203" i="4"/>
  <c r="AC205" i="4"/>
  <c r="AC206" i="4"/>
  <c r="AC207" i="4"/>
  <c r="AC208" i="4"/>
  <c r="AC209" i="4"/>
  <c r="AC210" i="4"/>
  <c r="AC211" i="4"/>
  <c r="AC213" i="4"/>
  <c r="AC214" i="4"/>
  <c r="AC215" i="4"/>
  <c r="AY145" i="4" l="1"/>
  <c r="AZ146" i="4"/>
  <c r="AC179" i="4"/>
  <c r="AC156" i="4"/>
  <c r="AC133" i="4"/>
  <c r="AC110" i="4"/>
  <c r="AC87" i="4"/>
  <c r="AC64" i="4"/>
  <c r="AC183" i="4"/>
  <c r="AC184" i="4"/>
  <c r="AC185" i="4"/>
  <c r="AC186" i="4"/>
  <c r="AC187" i="4"/>
  <c r="AC188" i="4"/>
  <c r="AC190" i="4"/>
  <c r="AC191" i="4"/>
  <c r="AC192" i="4"/>
  <c r="AC153" i="4"/>
  <c r="AC154" i="4"/>
  <c r="AC155" i="4"/>
  <c r="AC130" i="4"/>
  <c r="AC131" i="4"/>
  <c r="AC132" i="4"/>
  <c r="AC107" i="4"/>
  <c r="AC108" i="4"/>
  <c r="AC109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76" i="4"/>
  <c r="AC74" i="4"/>
  <c r="AC72" i="4"/>
  <c r="AC70" i="4"/>
  <c r="AC68" i="4"/>
  <c r="AC63" i="4"/>
  <c r="AC62" i="4"/>
  <c r="AC61" i="4"/>
  <c r="AC60" i="4"/>
  <c r="A59" i="2"/>
  <c r="A60" i="2"/>
  <c r="A61" i="2"/>
  <c r="A62" i="2"/>
  <c r="A63" i="2"/>
  <c r="A64" i="2"/>
  <c r="A65" i="2"/>
  <c r="A66" i="2"/>
  <c r="A67" i="2"/>
  <c r="A58" i="2"/>
  <c r="A46" i="2"/>
  <c r="A47" i="2"/>
  <c r="A48" i="2"/>
  <c r="A49" i="2"/>
  <c r="A50" i="2"/>
  <c r="A51" i="2"/>
  <c r="A52" i="2"/>
  <c r="A53" i="2"/>
  <c r="A54" i="2"/>
  <c r="A45" i="2"/>
  <c r="A33" i="2"/>
  <c r="A34" i="2"/>
  <c r="A35" i="2"/>
  <c r="A36" i="2"/>
  <c r="A37" i="2"/>
  <c r="A38" i="2"/>
  <c r="A39" i="2"/>
  <c r="A40" i="2"/>
  <c r="A41" i="2"/>
  <c r="A32" i="2"/>
  <c r="A15" i="2"/>
  <c r="A16" i="2"/>
  <c r="A17" i="2"/>
  <c r="A18" i="2"/>
  <c r="A19" i="2"/>
  <c r="A23" i="2"/>
  <c r="A24" i="2"/>
  <c r="A25" i="2"/>
  <c r="A14" i="2"/>
  <c r="AZ147" i="4" l="1"/>
  <c r="AY146" i="4"/>
  <c r="AM120" i="4"/>
  <c r="AO110" i="4"/>
  <c r="AM110" i="4" s="1"/>
  <c r="AO111" i="4"/>
  <c r="AM111" i="4" s="1"/>
  <c r="AO112" i="4"/>
  <c r="AM112" i="4" s="1"/>
  <c r="AO113" i="4"/>
  <c r="AM113" i="4" s="1"/>
  <c r="AO114" i="4"/>
  <c r="AM114" i="4" s="1"/>
  <c r="AO115" i="4"/>
  <c r="AM115" i="4" s="1"/>
  <c r="AO116" i="4"/>
  <c r="AM116" i="4" s="1"/>
  <c r="AO117" i="4"/>
  <c r="AM117" i="4" s="1"/>
  <c r="AO118" i="4"/>
  <c r="AO119" i="4"/>
  <c r="AM119" i="4" s="1"/>
  <c r="AO109" i="4"/>
  <c r="AM109" i="4" s="1"/>
  <c r="AO108" i="4"/>
  <c r="AM108" i="4" s="1"/>
  <c r="AO98" i="4"/>
  <c r="AM98" i="4" s="1"/>
  <c r="AO99" i="4"/>
  <c r="AM99" i="4" s="1"/>
  <c r="AO100" i="4"/>
  <c r="AM100" i="4" s="1"/>
  <c r="AO101" i="4"/>
  <c r="AM101" i="4" s="1"/>
  <c r="AO102" i="4"/>
  <c r="AM102" i="4" s="1"/>
  <c r="AO103" i="4"/>
  <c r="AM103" i="4" s="1"/>
  <c r="AO104" i="4"/>
  <c r="AM104" i="4" s="1"/>
  <c r="AO105" i="4"/>
  <c r="AM105" i="4" s="1"/>
  <c r="AO106" i="4"/>
  <c r="AM106" i="4" s="1"/>
  <c r="AO107" i="4"/>
  <c r="AM107" i="4" s="1"/>
  <c r="AO97" i="4"/>
  <c r="AM97" i="4" s="1"/>
  <c r="AO96" i="4"/>
  <c r="AM96" i="4" s="1"/>
  <c r="AM118" i="4"/>
  <c r="AO85" i="4"/>
  <c r="AM85" i="4" s="1"/>
  <c r="AO86" i="4"/>
  <c r="AM86" i="4" s="1"/>
  <c r="AO87" i="4"/>
  <c r="AM87" i="4" s="1"/>
  <c r="AO88" i="4"/>
  <c r="AM88" i="4" s="1"/>
  <c r="AO89" i="4"/>
  <c r="AM89" i="4" s="1"/>
  <c r="AO90" i="4"/>
  <c r="AM90" i="4" s="1"/>
  <c r="AO91" i="4"/>
  <c r="AM91" i="4" s="1"/>
  <c r="AO92" i="4"/>
  <c r="AM92" i="4" s="1"/>
  <c r="AO93" i="4"/>
  <c r="AM93" i="4" s="1"/>
  <c r="AO94" i="4"/>
  <c r="AM94" i="4" s="1"/>
  <c r="AO95" i="4"/>
  <c r="AM95" i="4" s="1"/>
  <c r="AO84" i="4"/>
  <c r="AM84" i="4" s="1"/>
  <c r="AO73" i="4"/>
  <c r="AO74" i="4"/>
  <c r="AO75" i="4"/>
  <c r="AO76" i="4"/>
  <c r="AO77" i="4"/>
  <c r="AO78" i="4"/>
  <c r="AO79" i="4"/>
  <c r="AO80" i="4"/>
  <c r="AO81" i="4"/>
  <c r="AO82" i="4"/>
  <c r="AO83" i="4"/>
  <c r="AO72" i="4"/>
  <c r="AO61" i="4"/>
  <c r="AO62" i="4"/>
  <c r="AO63" i="4"/>
  <c r="AO64" i="4"/>
  <c r="AO65" i="4"/>
  <c r="AO66" i="4"/>
  <c r="AO67" i="4"/>
  <c r="AO68" i="4"/>
  <c r="AO69" i="4"/>
  <c r="AO70" i="4"/>
  <c r="AO71" i="4"/>
  <c r="AO60" i="4"/>
  <c r="AM60" i="4" s="1"/>
  <c r="AM73" i="4"/>
  <c r="AM74" i="4"/>
  <c r="AM75" i="4"/>
  <c r="AM76" i="4"/>
  <c r="AM77" i="4"/>
  <c r="AM78" i="4"/>
  <c r="AM79" i="4"/>
  <c r="AM80" i="4"/>
  <c r="AM81" i="4"/>
  <c r="AM82" i="4"/>
  <c r="AM83" i="4"/>
  <c r="AM72" i="4"/>
  <c r="AM61" i="4"/>
  <c r="AM62" i="4"/>
  <c r="AY147" i="4" l="1"/>
  <c r="AZ148" i="4"/>
  <c r="AM64" i="4"/>
  <c r="AM65" i="4"/>
  <c r="AM66" i="4"/>
  <c r="AM67" i="4"/>
  <c r="AM68" i="4"/>
  <c r="AM69" i="4"/>
  <c r="AM70" i="4"/>
  <c r="AM71" i="4"/>
  <c r="AM63" i="4"/>
  <c r="AZ149" i="4" l="1"/>
  <c r="AY148" i="4"/>
  <c r="AC67" i="4"/>
  <c r="AC69" i="4"/>
  <c r="AC71" i="4"/>
  <c r="AC73" i="4"/>
  <c r="AC75" i="4"/>
  <c r="AC77" i="4"/>
  <c r="AC84" i="4"/>
  <c r="AC85" i="4"/>
  <c r="AC86" i="4"/>
  <c r="AC88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34" i="4"/>
  <c r="AC135" i="4"/>
  <c r="AC136" i="4"/>
  <c r="AC137" i="4"/>
  <c r="AC138" i="4"/>
  <c r="AC139" i="4"/>
  <c r="AC140" i="4"/>
  <c r="AC141" i="4"/>
  <c r="AC142" i="4"/>
  <c r="AC144" i="4"/>
  <c r="AC145" i="4"/>
  <c r="AC146" i="4"/>
  <c r="AC157" i="4"/>
  <c r="AC158" i="4"/>
  <c r="AC159" i="4"/>
  <c r="AC160" i="4"/>
  <c r="AC161" i="4"/>
  <c r="AC162" i="4"/>
  <c r="AC163" i="4"/>
  <c r="AC164" i="4"/>
  <c r="AC165" i="4"/>
  <c r="AC167" i="4"/>
  <c r="AC168" i="4"/>
  <c r="AC169" i="4"/>
  <c r="AC176" i="4"/>
  <c r="AC177" i="4"/>
  <c r="AC178" i="4"/>
  <c r="AC180" i="4"/>
  <c r="AC182" i="4"/>
  <c r="AC199" i="4"/>
  <c r="AC200" i="4"/>
  <c r="AC201" i="4"/>
  <c r="AC65" i="4"/>
  <c r="H6" i="1" s="1"/>
  <c r="A7" i="1"/>
  <c r="A8" i="1"/>
  <c r="A6" i="1"/>
  <c r="AZ150" i="4" l="1"/>
  <c r="AY149" i="4"/>
  <c r="AZ151" i="4" l="1"/>
  <c r="AY151" i="4" s="1"/>
  <c r="AY150" i="4"/>
  <c r="A6" i="3"/>
  <c r="A7" i="3"/>
  <c r="A8" i="3"/>
  <c r="A5" i="3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23" i="1" l="1"/>
  <c r="A35" i="3" l="1"/>
  <c r="A19" i="3"/>
  <c r="A27" i="3"/>
  <c r="A44" i="2"/>
  <c r="A49" i="1"/>
  <c r="A36" i="1"/>
  <c r="A31" i="2"/>
  <c r="A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Marijke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Het zeiloppervlak per zeil is bepalend voor de minimum Estrin eisen gesteld aan vallen en schoten.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Marijke</author>
  </authors>
  <commentList>
    <comment ref="C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Als er een E verschijnt zijn er in Estrin bepalingen opgenomen.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Wanddikte in mm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Marijke</author>
  </authors>
  <commentList>
    <comment ref="D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Als er een E verschijnt zijn er in Estrin bepalingen opgenomen.
</t>
        </r>
      </text>
    </comment>
    <comment ref="J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Als er een talie in gebruikt is, neem het onderdeel dan op in het lopend want.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00000000-0006-0000-0500-000003000000}">
      <text>
        <r>
          <rPr>
            <b/>
            <sz val="9"/>
            <color indexed="81"/>
            <rFont val="Tahoma"/>
            <charset val="1"/>
          </rPr>
          <t>Breeksterkte van spanner of van de enkele draad in een talreep.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3" authorId="0" shapeId="0" xr:uid="{00000000-0006-0000-0500-000004000000}">
      <text>
        <r>
          <rPr>
            <b/>
            <sz val="9"/>
            <color indexed="81"/>
            <rFont val="Tahoma"/>
            <charset val="1"/>
          </rPr>
          <t>Vul zelf het type met de breeksterkte in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" authorId="0" shapeId="0" xr:uid="{00000000-0006-0000-0500-000005000000}">
      <text>
        <r>
          <rPr>
            <b/>
            <sz val="9"/>
            <color indexed="81"/>
            <rFont val="Tahoma"/>
            <charset val="1"/>
          </rPr>
          <t>Breeksterkte = WL x SF (SF is meestal 4)</t>
        </r>
        <r>
          <rPr>
            <sz val="9"/>
            <color indexed="81"/>
            <rFont val="Tahoma"/>
            <charset val="1"/>
          </rPr>
          <t xml:space="preserve">
! Green Pin sluitingen hebben een SF van 6</t>
        </r>
      </text>
    </comment>
    <comment ref="M4" authorId="0" shapeId="0" xr:uid="{00000000-0006-0000-0500-000006000000}">
      <text>
        <r>
          <rPr>
            <b/>
            <sz val="9"/>
            <color indexed="81"/>
            <rFont val="Tahoma"/>
            <charset val="1"/>
          </rPr>
          <t>De breeksterkte die zijn opgenomen zijn van standaard spanners, heb je iets dat afwijkt vul dan zelf de breeksterkte in.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Marijke</author>
  </authors>
  <commentList>
    <comment ref="D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Als er een E verschijnt zijn er in Estrin bepalingen opgenomen.</t>
        </r>
      </text>
    </comment>
    <comment ref="F3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>Zie ook blad Afbeeldingen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3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Breeksterkte per part,
aantal parten bepaalt de gezamelijke breeksterkte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Voor de betekenis van de afkortingen zie de gebruiksaanwijzing.</t>
        </r>
      </text>
    </comment>
    <comment ref="R3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Breeksterkte van de blokken of van de gezamelijke parten van de talie.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Als de voorloop direkt op een lier staat kan in deze kolom "LIER"
 gekozen worden.</t>
        </r>
      </text>
    </comment>
    <comment ref="A5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Hierin zijn oa opgenomen die onderdelen die ook staand want kunnen zijn, maar door een talie lopend zijn geworden.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<sst xmlns="http://schemas.openxmlformats.org/spreadsheetml/2006/main" count="3635" uniqueCount="887">
  <si>
    <t>Draad</t>
  </si>
  <si>
    <t>Beschrijving</t>
  </si>
  <si>
    <t>Staand want</t>
  </si>
  <si>
    <t>Mast</t>
  </si>
  <si>
    <t>Materiaal</t>
  </si>
  <si>
    <t>Type</t>
  </si>
  <si>
    <t>Spanner</t>
  </si>
  <si>
    <t>Sluiting</t>
  </si>
  <si>
    <t>Rondhouten</t>
  </si>
  <si>
    <t>TUIGBOEK</t>
  </si>
  <si>
    <t>Scheepsnaam</t>
  </si>
  <si>
    <t>Lengte o.a.</t>
  </si>
  <si>
    <t>Breedte</t>
  </si>
  <si>
    <t>Aantal masten</t>
  </si>
  <si>
    <t>Scheepstype</t>
  </si>
  <si>
    <t>Zeiloppervlak</t>
  </si>
  <si>
    <t>[m]</t>
  </si>
  <si>
    <r>
      <t>[m</t>
    </r>
    <r>
      <rPr>
        <sz val="11"/>
        <color theme="1"/>
        <rFont val="Calibri"/>
        <family val="2"/>
      </rPr>
      <t>²]</t>
    </r>
  </si>
  <si>
    <t>DATA</t>
  </si>
  <si>
    <t>SCHEEPSTYPEN</t>
  </si>
  <si>
    <t>Tjalk</t>
  </si>
  <si>
    <t>Boltjalk</t>
  </si>
  <si>
    <t>Paviljoentjalk</t>
  </si>
  <si>
    <t>Koftjalk</t>
  </si>
  <si>
    <t>Klipper</t>
  </si>
  <si>
    <t>Stevenaak</t>
  </si>
  <si>
    <t>Klipperaak</t>
  </si>
  <si>
    <t>Keenaak</t>
  </si>
  <si>
    <t>Hasselteraak</t>
  </si>
  <si>
    <t>Lemsteraak</t>
  </si>
  <si>
    <t>Schoeneraak</t>
  </si>
  <si>
    <t>IJsselaak</t>
  </si>
  <si>
    <t>Rietaak</t>
  </si>
  <si>
    <t>Kraak</t>
  </si>
  <si>
    <t>Skutsje</t>
  </si>
  <si>
    <t>Steilsteven</t>
  </si>
  <si>
    <t>Schoener</t>
  </si>
  <si>
    <t>Topzeilschoener</t>
  </si>
  <si>
    <t>Loodsschoener</t>
  </si>
  <si>
    <t>Hagenaar</t>
  </si>
  <si>
    <t>Botter</t>
  </si>
  <si>
    <t>Noordzeebotter</t>
  </si>
  <si>
    <t>Barkentijn</t>
  </si>
  <si>
    <t>Maatkast</t>
  </si>
  <si>
    <t>Kotter</t>
  </si>
  <si>
    <t>Logger</t>
  </si>
  <si>
    <t>Luxe motor</t>
  </si>
  <si>
    <t>Beurtvaarder</t>
  </si>
  <si>
    <t>Kwak</t>
  </si>
  <si>
    <t>Catamaran</t>
  </si>
  <si>
    <t>Schokker</t>
  </si>
  <si>
    <t>Wad en Sontvaarder</t>
  </si>
  <si>
    <t>Beltvaarder</t>
  </si>
  <si>
    <t>MASTEN</t>
  </si>
  <si>
    <t>Eén-mast</t>
  </si>
  <si>
    <t>Twee-mast</t>
  </si>
  <si>
    <t>Drie-mast</t>
  </si>
  <si>
    <t>Stagzeilschoener</t>
  </si>
  <si>
    <t>Brigantijn</t>
  </si>
  <si>
    <t>Bark</t>
  </si>
  <si>
    <t>Volschip</t>
  </si>
  <si>
    <t>Vier-mast</t>
  </si>
  <si>
    <t>= invullen</t>
  </si>
  <si>
    <t>[-]</t>
  </si>
  <si>
    <t>Flevoaak</t>
  </si>
  <si>
    <t>Zuidwalbotter</t>
  </si>
  <si>
    <t>Blazer</t>
  </si>
  <si>
    <t>Scherp jacht</t>
  </si>
  <si>
    <t>Poon</t>
  </si>
  <si>
    <t>Aak</t>
  </si>
  <si>
    <t>=keuzemenu</t>
  </si>
  <si>
    <t>Voor</t>
  </si>
  <si>
    <t>RONDHOUTEN</t>
  </si>
  <si>
    <t>Boegspriet</t>
  </si>
  <si>
    <t>Fokkeboom</t>
  </si>
  <si>
    <t>Kluiverboom</t>
  </si>
  <si>
    <t>Steng</t>
  </si>
  <si>
    <t>Giek</t>
  </si>
  <si>
    <t>Masten</t>
  </si>
  <si>
    <t>Gaffel</t>
  </si>
  <si>
    <t>GROEP</t>
  </si>
  <si>
    <t>MATERIAAL</t>
  </si>
  <si>
    <t>Staal</t>
  </si>
  <si>
    <t>Aluminium</t>
  </si>
  <si>
    <t>Polyester</t>
  </si>
  <si>
    <t>Carbon</t>
  </si>
  <si>
    <t>CONSTRUCTIE</t>
  </si>
  <si>
    <t>Gelast</t>
  </si>
  <si>
    <t>Geklonken</t>
  </si>
  <si>
    <t>Profiel</t>
  </si>
  <si>
    <t>Vol-verlijmd</t>
  </si>
  <si>
    <t>Hol-verlijmd</t>
  </si>
  <si>
    <t>10 Boeg</t>
  </si>
  <si>
    <t>t [mm]</t>
  </si>
  <si>
    <t>Wishbone</t>
  </si>
  <si>
    <t>20 Mast</t>
  </si>
  <si>
    <t>som</t>
  </si>
  <si>
    <t>STAAND WANT</t>
  </si>
  <si>
    <t>DRAAD</t>
  </si>
  <si>
    <t>Constructie</t>
  </si>
  <si>
    <t>Eindverbinding</t>
  </si>
  <si>
    <t>Kous</t>
  </si>
  <si>
    <t>SPANNER</t>
  </si>
  <si>
    <t>SLUITING</t>
  </si>
  <si>
    <t>Aantal</t>
  </si>
  <si>
    <t>Beschr. Boeg</t>
  </si>
  <si>
    <t>Constr.</t>
  </si>
  <si>
    <t>Verbinding</t>
  </si>
  <si>
    <t>Talurit</t>
  </si>
  <si>
    <t>Splits</t>
  </si>
  <si>
    <t>Gevlochten</t>
  </si>
  <si>
    <t>RVS</t>
  </si>
  <si>
    <t>Spunflex</t>
  </si>
  <si>
    <t>Dyneema</t>
  </si>
  <si>
    <t>Spleitex</t>
  </si>
  <si>
    <t>DIN 3090</t>
  </si>
  <si>
    <t>DIN 3091</t>
  </si>
  <si>
    <t>DIN 83 311</t>
  </si>
  <si>
    <t>7x19</t>
  </si>
  <si>
    <t>7x7</t>
  </si>
  <si>
    <t>Mateiaal</t>
  </si>
  <si>
    <t>Brons</t>
  </si>
  <si>
    <t>Talreep</t>
  </si>
  <si>
    <t>Gaffel-Gaffel</t>
  </si>
  <si>
    <t>Gaffel-Oog</t>
  </si>
  <si>
    <t>Oog-Oog</t>
  </si>
  <si>
    <t>Maat</t>
  </si>
  <si>
    <t>Polypropyleen</t>
  </si>
  <si>
    <t>LOPEND WANT</t>
  </si>
  <si>
    <t>VOORLOOP</t>
  </si>
  <si>
    <t>TALIE</t>
  </si>
  <si>
    <t>Blokken</t>
  </si>
  <si>
    <t>Voorloop</t>
  </si>
  <si>
    <t>Talie</t>
  </si>
  <si>
    <t>Boegstag</t>
  </si>
  <si>
    <t>Waterstag</t>
  </si>
  <si>
    <t>Buitenkluiverstag</t>
  </si>
  <si>
    <t>Binnenkluiverstag</t>
  </si>
  <si>
    <t>Voorstag</t>
  </si>
  <si>
    <t>Gegalv.</t>
  </si>
  <si>
    <t>Inpectie</t>
  </si>
  <si>
    <t>A</t>
  </si>
  <si>
    <t>B</t>
  </si>
  <si>
    <t>C</t>
  </si>
  <si>
    <t>D</t>
  </si>
  <si>
    <t>Resultaat</t>
  </si>
  <si>
    <t>Goed</t>
  </si>
  <si>
    <t>Redelijk</t>
  </si>
  <si>
    <t>Slecht</t>
  </si>
  <si>
    <t>Datum</t>
  </si>
  <si>
    <t>Lengte [m]</t>
  </si>
  <si>
    <t>Lariks</t>
  </si>
  <si>
    <t>Spruce</t>
  </si>
  <si>
    <t>Afstand van zaling tot aan dek</t>
  </si>
  <si>
    <t>Totale lengte van de steng, zonder top</t>
  </si>
  <si>
    <t>Totale lengte</t>
  </si>
  <si>
    <t>Lengtes [m] volgens Estrin</t>
  </si>
  <si>
    <t>Volgens Estrin</t>
  </si>
  <si>
    <t>Het materiaal van alle rondhouten is van goede kwaliteit.</t>
  </si>
  <si>
    <t xml:space="preserve"> Hout voor masten moet voldoen aan de volgende vereisten:</t>
  </si>
  <si>
    <t>a</t>
  </si>
  <si>
    <t>vrij van concentraties van kwasten;</t>
  </si>
  <si>
    <t>b</t>
  </si>
  <si>
    <t>binnen de vereiste diktes spintvrij;</t>
  </si>
  <si>
    <t>c</t>
  </si>
  <si>
    <t>zoveel mogelijk rechtdradig;</t>
  </si>
  <si>
    <t>d</t>
  </si>
  <si>
    <t>zo min mogelijk gedraaid gegroeid.</t>
  </si>
  <si>
    <t>Bij gebruik van de houtsoorten Pitchpine of Oregonpine (van de kwaliteit “clear and better”)</t>
  </si>
  <si>
    <t>geldt een reductie van 5% op de diameters in de tabellen van de artikelen 20.07 tot en met</t>
  </si>
  <si>
    <t>20.12.</t>
  </si>
  <si>
    <t>Indien masten en rondhouten zonder ronde diameter worden gebruikt, moeten deze van</t>
  </si>
  <si>
    <t>gelijkwaardige sterkte zijn.</t>
  </si>
  <si>
    <t>Mastdekken, mastkokers, bevestigingen op dek, op wrangen en aan stevens worden zodanig</t>
  </si>
  <si>
    <t>geconstrueerd, dat de daarop uitgeoefende krachten kunnen worden opgenomen of</t>
  </si>
  <si>
    <t>overgedragen op andere verbanddelen.</t>
  </si>
  <si>
    <t>Afhankelijk van de belasting en stabiliteit van het schip en de verdeling van het beschikbare</t>
  </si>
  <si>
    <t>zeiloppervlak kan de Commissie van deskundigen op de in de artikelen 20.07 tot en met 20.12</t>
  </si>
  <si>
    <t>voorgeschreven afmetingen een vermindering van de diameters van de rondhouten en</t>
  </si>
  <si>
    <t>eventueel minder strenge eisen voor de tuigage toestaan. Daarvoor moeten documenten ter</t>
  </si>
  <si>
    <t>staving overeenkomstig artikel 20.05, tweede lid, worden overgelegd.</t>
  </si>
  <si>
    <t>Indien de slingertijd van het schip in seconden korter is dan 3/4 van de scheepsbreedte in</t>
  </si>
  <si>
    <t>meters, moeten de in de artikelen 20.07 tot en met 20.12 voorgeschreven afmetingen worden</t>
  </si>
  <si>
    <t>verhoogd. Daarvoor moeten documenten ter staving overeenkomstig artikel 20.05, tweede lid,</t>
  </si>
  <si>
    <t>worden overgelegd.</t>
  </si>
  <si>
    <t>In de tabellen van de artikelen 20.07 tot en met 20.12 en 20.14 kunnen eventueel</t>
  </si>
  <si>
    <t>tussenwaarden worden geïnterpoleerd.</t>
  </si>
  <si>
    <t>Artikel 20.07</t>
  </si>
  <si>
    <t>Bijzondere voorschriften voor masten</t>
  </si>
  <si>
    <t>Houten masten moeten ten minste aan de volgende eisen voldoen:</t>
  </si>
  <si>
    <t>Dekdiameter</t>
  </si>
  <si>
    <t>Diameter bij de zaling</t>
  </si>
  <si>
    <t>Ezelshoofd</t>
  </si>
  <si>
    <t>[cm]</t>
  </si>
  <si>
    <t>Indien aan een mast twee ra's gevoerd worden, geldt een toeslag van ten minste 10 % op de</t>
  </si>
  <si>
    <t>afmetingen volgens de tabel.</t>
  </si>
  <si>
    <t>Indien aan een mast meer dan twee ra's gevoerd worden, geldt een toeslag van ten minste 15%</t>
  </si>
  <si>
    <t>op de afmetingen volgens de tabel.</t>
  </si>
  <si>
    <t>Bij een doorgestoken mast is de diameter ter plaatse van de mastvoet ten minste 75% van de</t>
  </si>
  <si>
    <t>diameter ter plaatse van het dek.</t>
  </si>
  <si>
    <t>Mastbeslag en mastbanden, zalingen en ezelshoofden moeten voldoende sterk</t>
  </si>
  <si>
    <t>gedimensioneerd zijn en deugdelijk aangebracht of bevestigd zijn.</t>
  </si>
  <si>
    <t>Artikel 20.08</t>
  </si>
  <si>
    <t>Bijzondere voorschriften voor stengen</t>
  </si>
  <si>
    <t>Houten stengen moeten ten minste aan de volgende eisen voldoen:</t>
  </si>
  <si>
    <t>Lengte*</t>
  </si>
  <si>
    <t>Voetdiameter</t>
  </si>
  <si>
    <t xml:space="preserve">Diameter op </t>
  </si>
  <si>
    <t>Beslagdia-</t>
  </si>
  <si>
    <t>halve lengte</t>
  </si>
  <si>
    <t>meter**</t>
  </si>
  <si>
    <t>Indien aan een steng razeilen worden gevoerd, geldt een toeslag van 10% op de afmetingen</t>
  </si>
  <si>
    <t>volgens de tabel.</t>
  </si>
  <si>
    <t>De overlap van de steng met de mast bedraagt ten minste 10 maal de voorgeschreven</t>
  </si>
  <si>
    <t>voetdiameter van de steng.</t>
  </si>
  <si>
    <t>Artikel 20.09</t>
  </si>
  <si>
    <t>Bijzondere voorschriften voor boegsprieten</t>
  </si>
  <si>
    <t>Houten boegsprieten moeten ten minste aan de volgende eisen voldoen:</t>
  </si>
  <si>
    <t>Het binnenboordgedeelte van de boegspriet moet een lengte hebben van ten minste 4 maal de</t>
  </si>
  <si>
    <t>diameter van de boegspriet ter plaatse van de steven.</t>
  </si>
  <si>
    <t>De diameter van de boegspriet aan de nok is ten minste 60% van de diameter ter plaatse van</t>
  </si>
  <si>
    <t>de steven.</t>
  </si>
  <si>
    <t>Artikel 20.10</t>
  </si>
  <si>
    <t>Bijzondere voorschriften voor kluiverbomen</t>
  </si>
  <si>
    <t>Houten kluiverbomen moeten ten minste aan de volgende eisen voldoen:</t>
  </si>
  <si>
    <t>Diameter op de steven [cm]</t>
  </si>
  <si>
    <t>De diameter van de kluiverboom aan de nok is ten minste 60% van de diameter ter plaatse van</t>
  </si>
  <si>
    <t>Artikel 20.11</t>
  </si>
  <si>
    <t>Bijzondere voorschriften voor gieken</t>
  </si>
  <si>
    <t>einde van de giek aangrijpt of</t>
  </si>
  <si>
    <t>kan de Commissie van deskundigen overeenkomstig artikel 20.05, tweede lid, een grotere</t>
  </si>
  <si>
    <t>diameter voorschrijven.</t>
  </si>
  <si>
    <t>Artikel 20.12</t>
  </si>
  <si>
    <t>Bijzondere voorschriften voor gaffels</t>
  </si>
  <si>
    <t>breeksterkte aangepast aan de dan optredende krachten.</t>
  </si>
  <si>
    <t>Artikel 20.13</t>
  </si>
  <si>
    <t>Algemene voorschriften voor staand en lopend want</t>
  </si>
  <si>
    <t>Splitsen moeten bekleed zijn en uiteinden moeten afgeschermd zijn.</t>
  </si>
  <si>
    <t>Artikel 20.14</t>
  </si>
  <si>
    <t>Bijzondere voorschriften voor staand want</t>
  </si>
  <si>
    <t>volgende eisen:</t>
  </si>
  <si>
    <t>1550 N/mm2. In afwijking daarvan kan bij gelijke sterkteklasse de constructie 6 maal 36 SE of</t>
  </si>
  <si>
    <t>6 maal 19 FE gebruikt worden. Wegens de grotere elasticiteit van de constructie 6 maal 19</t>
  </si>
  <si>
    <t>moeten de in de tabel aangegeven breekkrachten met 10% worden verhoogd. Gebruik van</t>
  </si>
  <si>
    <t>andere draadconstructies zijn toegestaan, mits deze vergelijkbare eigenschappen bezitten.</t>
  </si>
  <si>
    <t>tabel.</t>
  </si>
  <si>
    <t>kluiver- en vliegerstag.</t>
  </si>
  <si>
    <t>volgende reducties op de breeksterkten volgens de tabel toestaan:</t>
  </si>
  <si>
    <t>Artikel 20.15</t>
  </si>
  <si>
    <t>Bijzondere voorschriften voor lopend want</t>
  </si>
  <si>
    <t>doorsnede van het lopend want moeten, gerelateerd aan zeiloppervlakte, ten minste voldoen</t>
  </si>
  <si>
    <t>aan de volgende eisen:</t>
  </si>
  <si>
    <t>Stagzeilvallen</t>
  </si>
  <si>
    <t>Staaldraad</t>
  </si>
  <si>
    <t>Gaffelzeilvallen/</t>
  </si>
  <si>
    <t>Torenzeilvallen</t>
  </si>
  <si>
    <t>Stagzeilschoten</t>
  </si>
  <si>
    <t>Vezel (PP)</t>
  </si>
  <si>
    <t>Gaffel-/toren- zeilschoten</t>
  </si>
  <si>
    <t>overeenkomt met die van het betrokken stag of want.</t>
  </si>
  <si>
    <t>van de tabel uit eerste lid aangehouden worden.</t>
  </si>
  <si>
    <t>Touw uit polyethyleen mag niet worden gebruikt.</t>
  </si>
  <si>
    <t>Artikel 20.16</t>
  </si>
  <si>
    <t>Beslag en onderdelen van de tuigage</t>
  </si>
  <si>
    <t>draaddiameter bedragen indien het staaldraad niet constant over de schijven loopt.</t>
  </si>
  <si>
    <t>bouten, ringen en schakels) is in overeenstemming met de breeksterkte van het daaraan</t>
  </si>
  <si>
    <t>bevestigde staand of lopend want.</t>
  </si>
  <si>
    <t>de hiertoe gebruikte draaiende hanenpoten in goede staat verkeren.</t>
  </si>
  <si>
    <t>de daarop uitgeoefende belasting.</t>
  </si>
  <si>
    <t>Artikel 20.17</t>
  </si>
  <si>
    <t>Zeilen</t>
  </si>
  <si>
    <t>Artikel 20.18</t>
  </si>
  <si>
    <t>Uitrusting</t>
  </si>
  <si>
    <t>een kluivernet en een toereikend aantal daarbij behorende rem- en spanvoorzieningen.</t>
  </si>
  <si>
    <t>boegspriet met een hand- en voetgeleiding is uitgerust die voldoende is gedimensioneerd voor</t>
  </si>
  <si>
    <t>het gebruik van een aan boord mee te voeren veiligheidsgordel.</t>
  </si>
  <si>
    <t>ESTRIN</t>
  </si>
  <si>
    <t>GEBRUIKSAANWIJZING</t>
  </si>
  <si>
    <t>Deze excelfile is gemaakt ter ondersteuning van het samenstellen van een tuigboek voor zeilende passagiersschepen volgens ESTRIN</t>
  </si>
  <si>
    <t>Alle lichtblauwe velden zijn vrij in te vullen.</t>
  </si>
  <si>
    <t>SCHIP</t>
  </si>
  <si>
    <t>Er zijn verschillende werkbladen:</t>
  </si>
  <si>
    <t>Werkblad SCHIP</t>
  </si>
  <si>
    <t>Een keuze van het aantal masten werkt door in de rest van de werkbladen</t>
  </si>
  <si>
    <t>Elke 5 jaar</t>
  </si>
  <si>
    <t>ENI nummer</t>
  </si>
  <si>
    <t>Bakstag</t>
  </si>
  <si>
    <t>Lopend want</t>
  </si>
  <si>
    <t>Fokkeval</t>
  </si>
  <si>
    <t>Kluiverval</t>
  </si>
  <si>
    <t>Binnenkluiverval</t>
  </si>
  <si>
    <t>Buitenkluiverval</t>
  </si>
  <si>
    <t>Piekeval</t>
  </si>
  <si>
    <t>Klauwval</t>
  </si>
  <si>
    <t>Fokkeschoot</t>
  </si>
  <si>
    <t>Kluiverschoot</t>
  </si>
  <si>
    <t>Binnenkluiverschoot</t>
  </si>
  <si>
    <t>Buitenkluiverschoot</t>
  </si>
  <si>
    <t>Grootschoot</t>
  </si>
  <si>
    <t>Bezaanschoot</t>
  </si>
  <si>
    <t>Schoenerschoot</t>
  </si>
  <si>
    <t>Stagzeilschoot</t>
  </si>
  <si>
    <t>Dirk</t>
  </si>
  <si>
    <t>Kraanlijn</t>
  </si>
  <si>
    <t>Fokkeboomdirk</t>
  </si>
  <si>
    <t>Kluiverstag</t>
  </si>
  <si>
    <t>ONDERHOUD</t>
  </si>
  <si>
    <t>Werkblad RONDHOUTEN</t>
  </si>
  <si>
    <t xml:space="preserve">Alle donkerblauwe velden zijn keuzemenu's, op het veld verschijnt rechts een dropdownpijl met verschillende keuzes, blanco keuze of DEL maakt het veld (weer) leeg </t>
  </si>
  <si>
    <t>Ø</t>
  </si>
  <si>
    <t>Breekst</t>
  </si>
  <si>
    <t>[mm]</t>
  </si>
  <si>
    <t>ID NUMMERS</t>
  </si>
  <si>
    <t>ID</t>
  </si>
  <si>
    <t>21.00</t>
  </si>
  <si>
    <t>21.10/20</t>
  </si>
  <si>
    <t>23.00</t>
  </si>
  <si>
    <t>23.10/20</t>
  </si>
  <si>
    <t>26.10/20</t>
  </si>
  <si>
    <t>41.10/20</t>
  </si>
  <si>
    <t>43.10/20</t>
  </si>
  <si>
    <t>46.10/20</t>
  </si>
  <si>
    <t>61.10/20</t>
  </si>
  <si>
    <t>63.10/20</t>
  </si>
  <si>
    <t>66.10/20</t>
  </si>
  <si>
    <t>81.10/20</t>
  </si>
  <si>
    <t>83.10/20</t>
  </si>
  <si>
    <t>86.10/20</t>
  </si>
  <si>
    <t>11.00</t>
  </si>
  <si>
    <t>12.00</t>
  </si>
  <si>
    <t>[mm/"]</t>
  </si>
  <si>
    <t>Green Pin D</t>
  </si>
  <si>
    <t>Black Pin D</t>
  </si>
  <si>
    <t>3"</t>
  </si>
  <si>
    <t>1S</t>
  </si>
  <si>
    <t>4"</t>
  </si>
  <si>
    <t>2S</t>
  </si>
  <si>
    <t>5"</t>
  </si>
  <si>
    <t>3S</t>
  </si>
  <si>
    <t>6"</t>
  </si>
  <si>
    <t>1SH</t>
  </si>
  <si>
    <t>7"</t>
  </si>
  <si>
    <t>2SH</t>
  </si>
  <si>
    <t>8"</t>
  </si>
  <si>
    <t>3SH</t>
  </si>
  <si>
    <t>DIN 82101</t>
  </si>
  <si>
    <t>1/4"</t>
  </si>
  <si>
    <t>5/16"</t>
  </si>
  <si>
    <t>3/8"</t>
  </si>
  <si>
    <t>7/16"</t>
  </si>
  <si>
    <t>1/2"</t>
  </si>
  <si>
    <t>5/8"</t>
  </si>
  <si>
    <t>3/4"</t>
  </si>
  <si>
    <t>7/8"</t>
  </si>
  <si>
    <t>1"</t>
  </si>
  <si>
    <t>1 1/8"</t>
  </si>
  <si>
    <t>1 1/4"</t>
  </si>
  <si>
    <t>1 1/2"</t>
  </si>
  <si>
    <t>1 3/4"</t>
  </si>
  <si>
    <t>2"</t>
  </si>
  <si>
    <t>18mm</t>
  </si>
  <si>
    <t>22mm</t>
  </si>
  <si>
    <t>24mm</t>
  </si>
  <si>
    <t>28mm</t>
  </si>
  <si>
    <t>30mm</t>
  </si>
  <si>
    <t>32mm</t>
  </si>
  <si>
    <t>36mm</t>
  </si>
  <si>
    <t>44mm</t>
  </si>
  <si>
    <t>48mm</t>
  </si>
  <si>
    <t>52mm</t>
  </si>
  <si>
    <t>AISI 316</t>
  </si>
  <si>
    <t>Ø bout</t>
  </si>
  <si>
    <t>11.10/20</t>
  </si>
  <si>
    <t>Periode</t>
  </si>
  <si>
    <t>Jaarlijks</t>
  </si>
  <si>
    <t>Dagelijks</t>
  </si>
  <si>
    <t>Wekelijks</t>
  </si>
  <si>
    <t>Maandelijks</t>
  </si>
  <si>
    <t>Elke 2 jaar</t>
  </si>
  <si>
    <t>Elke 3 jaar</t>
  </si>
  <si>
    <t>Elke 4 jaar</t>
  </si>
  <si>
    <t>Elk half jaar</t>
  </si>
  <si>
    <t>Nvt</t>
  </si>
  <si>
    <t>Oregon Pine</t>
  </si>
  <si>
    <t>Oregon Pine C&amp;B</t>
  </si>
  <si>
    <t>Pitch Pine</t>
  </si>
  <si>
    <t>Pitch Pine C&amp;B</t>
  </si>
  <si>
    <t>Dek</t>
  </si>
  <si>
    <t>Zaling</t>
  </si>
  <si>
    <t>Ø1 [cm]</t>
  </si>
  <si>
    <t>Ø2 [cm]</t>
  </si>
  <si>
    <t>Ø3 [cm]</t>
  </si>
  <si>
    <t>Ø1</t>
  </si>
  <si>
    <t>Ø2</t>
  </si>
  <si>
    <t>Ø3</t>
  </si>
  <si>
    <t xml:space="preserve">Totale lengte </t>
  </si>
  <si>
    <t>Voet</t>
  </si>
  <si>
    <t>1/2 lengte</t>
  </si>
  <si>
    <t>Topbeslag</t>
  </si>
  <si>
    <t>Voorsteven</t>
  </si>
  <si>
    <t>Nok</t>
  </si>
  <si>
    <t>Grootste</t>
  </si>
  <si>
    <t>Lummel</t>
  </si>
  <si>
    <t>Schoothoek</t>
  </si>
  <si>
    <t>Boom</t>
  </si>
  <si>
    <r>
      <t xml:space="preserve">Positie gemeten </t>
    </r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 xml:space="preserve"> zie gebruiksaanwijzing</t>
    </r>
  </si>
  <si>
    <t>Werkblad STAAND WANT</t>
  </si>
  <si>
    <t xml:space="preserve">- </t>
  </si>
  <si>
    <t>Opmerkingen</t>
  </si>
  <si>
    <t>OPMERKINGEN</t>
  </si>
  <si>
    <t>Spansluiter</t>
  </si>
  <si>
    <t>Black Pin H</t>
  </si>
  <si>
    <t>-</t>
  </si>
  <si>
    <t>St52-3</t>
  </si>
  <si>
    <t>St37</t>
  </si>
  <si>
    <t>Artikel 20.05</t>
  </si>
  <si>
    <t>Tuigage algemeen</t>
  </si>
  <si>
    <t>De tuigage is zodanig ingericht dat ontoelaatbaar schavielen vermeden wordt.</t>
  </si>
  <si>
    <t>Bij gebruik van een ander materiaal dan hout of bij gebruik van bijzondere tuigvormen moeten</t>
  </si>
  <si>
    <t>constructies worden toegepast die een gelijkwaardige veiligheid waarborgen als de in dit</t>
  </si>
  <si>
    <t>hoofdstuk voorgeschreven afmetingen en sterktes.</t>
  </si>
  <si>
    <t>Ter staving van voldoende sterkte moet:</t>
  </si>
  <si>
    <t>een sterkteberekening worden opgesteld; of</t>
  </si>
  <si>
    <t>de voldoende sterkte door een erkend classificatiebureau bevestigd zijn, of</t>
  </si>
  <si>
    <t>de dimensionering uit een erkende berekeningsmethode zijn afgeleid (bv. Middendorf;</t>
  </si>
  <si>
    <t>Kusk-Jensen).</t>
  </si>
  <si>
    <t>Een document ter staving van de voldoende sterkte moet aan de Commissie van deskundigen</t>
  </si>
  <si>
    <t>Artikel 20.06</t>
  </si>
  <si>
    <t>Masten en Rondhouten Algemeen</t>
  </si>
  <si>
    <t>* afstand zaling tot mast</t>
  </si>
  <si>
    <t>* De totale lengte van de steng, zonder de top.</t>
  </si>
  <si>
    <t>** Diameter van de steng ter plaatse van het topbeslag.</t>
  </si>
  <si>
    <t>Diameter op voorsteven</t>
  </si>
  <si>
    <t>Diameter op halve lengte</t>
  </si>
  <si>
    <t>* totale lengte van de boegspriet</t>
  </si>
  <si>
    <t xml:space="preserve">Lengte* [m] </t>
  </si>
  <si>
    <t>* totale lengte</t>
  </si>
  <si>
    <t>Houten gieken moeten ten minste aan de volgende eisen voldoen:</t>
  </si>
  <si>
    <t>Diameter [cm]</t>
  </si>
  <si>
    <t>* totale lengte giek</t>
  </si>
  <si>
    <t>De diameter bij de lummel is ten minste 72% van de diameter volgens de tabel.</t>
  </si>
  <si>
    <t>De diameter bij de schoothoek is ten minste 85% van de diameter volgens de tabel.</t>
  </si>
  <si>
    <t>De grootste diameter ligt op 2/3 van de lengte vanaf de mast.</t>
  </si>
  <si>
    <t>Indien:</t>
  </si>
  <si>
    <t>de hoek die het achterlijk maakt met de giek kleiner is dan 65° en de grootschoot aan het</t>
  </si>
  <si>
    <t>het aangrijpingspunt van de grootschoot niet tegenover de schoothoek ligt,</t>
  </si>
  <si>
    <t>Voor zeiloppervlakten kleiner dan 50 m2 kan de Commissie van deskundigen reducties toestaan</t>
  </si>
  <si>
    <t>Houten gaffels moeten ten minste aan de volgende eisen voldoen:</t>
  </si>
  <si>
    <t>Diameter  [cm]</t>
  </si>
  <si>
    <t>De ongesteunde lengte van de gaffel bedraagt maximaal 75%.</t>
  </si>
  <si>
    <t>De breeksterkte van de spruit is ten minste gelijk aan 1,2 maal de breeksterkte van de piekeval.</t>
  </si>
  <si>
    <t>De tophoek van de spruit is maximaal 60°.</t>
  </si>
  <si>
    <t>Indien de tophoek van de spruit, in afwijking van het vierde lid, groter is dan 60°, is de</t>
  </si>
  <si>
    <t>Staand en lopend want moeten voldoen aan de sterkte-eisen van de artikelen 20.14 en 20.15.</t>
  </si>
  <si>
    <t>Als staaldraadverbindingen zijn toegestaan:</t>
  </si>
  <si>
    <t>splitsen,</t>
  </si>
  <si>
    <t>klemhulzen, of</t>
  </si>
  <si>
    <t>taluritklemmen.</t>
  </si>
  <si>
    <t>Oogsplitsen moeten van een kous zijn voorzien.</t>
  </si>
  <si>
    <t>Draden moeten zodanig lopen dat hinder bij ingangen en trappen vermeden wordt.</t>
  </si>
  <si>
    <t>Fokkestagen en wanten moeten ten minste aan de volgende eisen voldoen:</t>
  </si>
  <si>
    <t>[kN]</t>
  </si>
  <si>
    <t>van de wanten per zijde</t>
  </si>
  <si>
    <t>*afstand van top of zaling tot aan het dek</t>
  </si>
  <si>
    <t>Bakstag, topwantsteng, kluiverbomen, boeg- en vliegerstag moeten ten minste voldoen aan de</t>
  </si>
  <si>
    <t>Lengte van de mast*</t>
  </si>
  <si>
    <t>&lt;13</t>
  </si>
  <si>
    <t>13-18</t>
  </si>
  <si>
    <t>&gt;18</t>
  </si>
  <si>
    <t xml:space="preserve">Breeksterkte bakstag </t>
  </si>
  <si>
    <t>Lengte van de steng</t>
  </si>
  <si>
    <t>&lt;6</t>
  </si>
  <si>
    <t>&gt;8</t>
  </si>
  <si>
    <t xml:space="preserve">Breeksterkte vliegerstag  </t>
  </si>
  <si>
    <t>Lengte van de kluiverboom</t>
  </si>
  <si>
    <t>&lt;5</t>
  </si>
  <si>
    <t>&gt;7</t>
  </si>
  <si>
    <t xml:space="preserve">Breeksterkte boegstag  </t>
  </si>
  <si>
    <t>De draadconstructie is bij voorkeur uitgevoerd volgens 6 maal 7 FE in de sterkteklasse</t>
  </si>
  <si>
    <t>Bij gebruik van massieve verstaging geldt een toeslag van 30% op de breeksterkte volgens de</t>
  </si>
  <si>
    <t>In de verstaging worden alleen gekeurde sluitingen, ogen en bouten toegepast.</t>
  </si>
  <si>
    <t>Bouten, sluitingen, ogen en spanschroeven zijn deugdelijk geborgd.</t>
  </si>
  <si>
    <t>De breeksterkte van de waterstag is ten minste 1,2 maal de breeksterkte van het aangrijpende</t>
  </si>
  <si>
    <t>Voor schepen met minder dan 30 m3 waterverplaatsing kan de Commissie van deskundigen de</t>
  </si>
  <si>
    <t>Waterverplaatsing gedeeld door het aantal masten [m3]</t>
  </si>
  <si>
    <t>&gt; 20 t/m 30</t>
  </si>
  <si>
    <t>10 t/m 20</t>
  </si>
  <si>
    <t>&lt; 10</t>
  </si>
  <si>
    <t>Voor lopend want moet touw van vezels of staaldraad worden gebruikt. De breeksterkte en de</t>
  </si>
  <si>
    <t>Soort lopend want</t>
  </si>
  <si>
    <t>Draad-materiaal</t>
  </si>
  <si>
    <r>
      <t>Zeiloppervlak [m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]</t>
    </r>
  </si>
  <si>
    <t>Breeksterkte [kN]</t>
  </si>
  <si>
    <t>tot en met 35</t>
  </si>
  <si>
    <t>&gt; 35</t>
  </si>
  <si>
    <t>Vezel (polypropyleen – PP)</t>
  </si>
  <si>
    <t>tot en met 50</t>
  </si>
  <si>
    <t>&gt; 50 t/m 80</t>
  </si>
  <si>
    <t>&gt; 80 t/m 120</t>
  </si>
  <si>
    <t>&gt;120 t/m 160</t>
  </si>
  <si>
    <t>tot en met 40</t>
  </si>
  <si>
    <t>&gt; 40</t>
  </si>
  <si>
    <r>
      <t>Bij zeiloppervlakten boven de 30 m</t>
    </r>
    <r>
      <rPr>
        <vertAlign val="superscript"/>
        <sz val="10"/>
        <color rgb="FF333333"/>
        <rFont val="Arial"/>
        <family val="2"/>
      </rPr>
      <t>2</t>
    </r>
    <r>
      <rPr>
        <sz val="10"/>
        <color rgb="FF333333"/>
        <rFont val="Arial"/>
        <family val="2"/>
      </rPr>
      <t> moet de schoot uitgevoerd zijn als takel of bediend worden met een lier.</t>
    </r>
  </si>
  <si>
    <t>&lt; 100</t>
  </si>
  <si>
    <t>100 t/m 150</t>
  </si>
  <si>
    <t>&gt; 150</t>
  </si>
  <si>
    <t>Voor torenzeilschoten zijn elastische verbindingsonderdelen (veren of rekkers) noodzakelijk.</t>
  </si>
  <si>
    <r>
      <t>Draaddiameter ten minste 18 mm en minstens drie schijven. Bij meer dan 60 m</t>
    </r>
    <r>
      <rPr>
        <vertAlign val="superscript"/>
        <sz val="10"/>
        <color rgb="FF333333"/>
        <rFont val="Arial"/>
        <family val="2"/>
      </rPr>
      <t>2</t>
    </r>
    <r>
      <rPr>
        <sz val="10"/>
        <color rgb="FF333333"/>
        <rFont val="Arial"/>
        <family val="2"/>
      </rPr>
      <t> zeiloppervlak per 20 m</t>
    </r>
    <r>
      <rPr>
        <vertAlign val="superscript"/>
        <sz val="10"/>
        <color rgb="FF333333"/>
        <rFont val="Arial"/>
        <family val="2"/>
      </rPr>
      <t>2</t>
    </r>
    <r>
      <rPr>
        <sz val="10"/>
        <color rgb="FF333333"/>
        <rFont val="Arial"/>
        <family val="2"/>
      </rPr>
      <t> een schijf.</t>
    </r>
  </si>
  <si>
    <t>Het lopend want heeft, voorzover het deel uitmaakt van de verstaging, een breeksterkte die</t>
  </si>
  <si>
    <t>Bij toepassing van andere dan de in eerste lid genoemde materialen moeten de sterktewaarden</t>
  </si>
  <si>
    <t xml:space="preserve">Diameter staaldraad </t>
  </si>
  <si>
    <t>Diameter touw</t>
  </si>
  <si>
    <t xml:space="preserve">Diameter schijf </t>
  </si>
  <si>
    <t>In afwijking van eerste lid mag de diameter van de schijven het zesvoudige van de</t>
  </si>
  <si>
    <t>De breeksterkte van het beslag (bijvoorbeeld sluitingen, ogen, spanschroeven, oogplaten,</t>
  </si>
  <si>
    <t>De bevestiging van stag- en wantputtingen kan de daarop uitgeoefende krachten opnemen.</t>
  </si>
  <si>
    <t>Aan elk oog mag slechts een schakel en het daarbij behorende stag of want bevestigd zijn.</t>
  </si>
  <si>
    <t>De blokken van vallen en dirken zijn op een deugdelijke wijze aan de mast bevestigd, waarbij</t>
  </si>
  <si>
    <t>De bevestiging van oogbouten, klampen, kikkers en nagelbanken is in overeenstemming met</t>
  </si>
  <si>
    <t>De zeilen moeten eenvoudig, snel en veilig kunnen worden gestreken.</t>
  </si>
  <si>
    <t>Het zeiloppervlak is passend voor het scheepstype en de waterverplaatsing.</t>
  </si>
  <si>
    <t>Schepen die met een kluiverboom of een boegspriet zijn uitgerust, moeten voorzien zijn van</t>
  </si>
  <si>
    <t>Van de in eerste lid bedoelde uitrusting kan worden afgezien indien de kluiverboom of</t>
  </si>
  <si>
    <t>Voor het werken aan de tuigage dient een bootmansstoeltje beschikbaar te zijn.</t>
  </si>
  <si>
    <t>Lengte van de mast *</t>
  </si>
  <si>
    <t>Breeksterkte fokkestag</t>
  </si>
  <si>
    <t>Breeksterkte wanten</t>
  </si>
  <si>
    <t xml:space="preserve">Aantal kabels en draden </t>
  </si>
  <si>
    <t>Verminderingspercentage</t>
  </si>
  <si>
    <t>Draaddiameter [mm]</t>
  </si>
  <si>
    <t>OVERIGE</t>
  </si>
  <si>
    <t>ID Nummer</t>
  </si>
  <si>
    <t xml:space="preserve">ID </t>
  </si>
  <si>
    <t>21.40</t>
  </si>
  <si>
    <t>23.40</t>
  </si>
  <si>
    <t>24.40</t>
  </si>
  <si>
    <t>24.44</t>
  </si>
  <si>
    <t>21.21/22</t>
  </si>
  <si>
    <t>23.21/22</t>
  </si>
  <si>
    <t>22.20</t>
  </si>
  <si>
    <t>44.44</t>
  </si>
  <si>
    <t>44.40</t>
  </si>
  <si>
    <t>64.40</t>
  </si>
  <si>
    <t>84.40</t>
  </si>
  <si>
    <t>64.44</t>
  </si>
  <si>
    <t>84.44</t>
  </si>
  <si>
    <t>42.20</t>
  </si>
  <si>
    <t>62.20</t>
  </si>
  <si>
    <t>82.20</t>
  </si>
  <si>
    <t>22.50</t>
  </si>
  <si>
    <t>42.50</t>
  </si>
  <si>
    <t>62.50</t>
  </si>
  <si>
    <t>82.50</t>
  </si>
  <si>
    <t>12.50</t>
  </si>
  <si>
    <t>Onderhoud en Controle Logboek</t>
  </si>
  <si>
    <t>Kritieke Punt</t>
  </si>
  <si>
    <t>Uitgevoerd door</t>
  </si>
  <si>
    <t>Vervolg</t>
  </si>
  <si>
    <t>Beoordeling</t>
  </si>
  <si>
    <t>Essen</t>
  </si>
  <si>
    <t>Robinia</t>
  </si>
  <si>
    <t>Eco</t>
  </si>
  <si>
    <t>Hye</t>
  </si>
  <si>
    <t>Kunststof</t>
  </si>
  <si>
    <t>Hostaform-C</t>
  </si>
  <si>
    <t>1SK</t>
  </si>
  <si>
    <t>2SK</t>
  </si>
  <si>
    <t>ONDERHOUDSLOGBOEK RONDHOUTEN</t>
  </si>
  <si>
    <t>PO</t>
  </si>
  <si>
    <t>Werkzaamheden</t>
  </si>
  <si>
    <t>Rondhout</t>
  </si>
  <si>
    <t>ONDERHOUDSLOGBOEK STAAND WANT</t>
  </si>
  <si>
    <t>ONDERHOUDSLOGBOEK LOPEND WANT</t>
  </si>
  <si>
    <t>Schip!A1</t>
  </si>
  <si>
    <t>Index</t>
  </si>
  <si>
    <t>Gebruiksaanwijzing</t>
  </si>
  <si>
    <t>Onderhoud Rondhouten</t>
  </si>
  <si>
    <t>Staand Want</t>
  </si>
  <si>
    <t>Onderhoud Staand Want</t>
  </si>
  <si>
    <t>Lopend Want</t>
  </si>
  <si>
    <t>Onderhoud Lopend Want</t>
  </si>
  <si>
    <t>Estrin</t>
  </si>
  <si>
    <t>Data</t>
  </si>
  <si>
    <t>Scheepsgegevens</t>
  </si>
  <si>
    <t>Gebruiksaanwijzing!A1</t>
  </si>
  <si>
    <t>Rondhouten!A1</t>
  </si>
  <si>
    <t>Onderhoud RH'!A1</t>
  </si>
  <si>
    <t>Staand want'!A1</t>
  </si>
  <si>
    <t>Onderhoud SW'!A1</t>
  </si>
  <si>
    <t>Lopend Want'!A1</t>
  </si>
  <si>
    <t>Onderhoud LW'!A1</t>
  </si>
  <si>
    <t>Estrin!A1</t>
  </si>
  <si>
    <t>Branchenorm!A1</t>
  </si>
  <si>
    <t>Data!A1</t>
  </si>
  <si>
    <t>Terug naar Schip:</t>
  </si>
  <si>
    <t xml:space="preserve">Terug naar schip: </t>
  </si>
  <si>
    <t xml:space="preserve">Datum: </t>
  </si>
  <si>
    <t>Opgesteld door: Cadhead-Stability, Square Rigging &amp; Yacht Design, Amsterdam &amp; BBZ-Vereniging voor Beroepschartervaart , Amsterdam</t>
  </si>
  <si>
    <t>ONDERHOUD RONDHOUTEN</t>
  </si>
  <si>
    <t>ONDERHOUD STAAND WANT</t>
  </si>
  <si>
    <t>ONDERHOUD LOPEND WANT</t>
  </si>
  <si>
    <t>ONDERDEEL</t>
  </si>
  <si>
    <t xml:space="preserve">Samengevoegd </t>
  </si>
  <si>
    <t>16mm</t>
  </si>
  <si>
    <t>14mm</t>
  </si>
  <si>
    <t>12mm</t>
  </si>
  <si>
    <t>10mm</t>
  </si>
  <si>
    <t>8mm</t>
  </si>
  <si>
    <t>6mm</t>
  </si>
  <si>
    <t>4mm</t>
  </si>
  <si>
    <t>COVER</t>
  </si>
  <si>
    <t>INTRO</t>
  </si>
  <si>
    <t>INHOUD</t>
  </si>
  <si>
    <t>KRITIEKE PUNTEN</t>
  </si>
  <si>
    <t>CONTROLE FREQ</t>
  </si>
  <si>
    <t>CONTROLE METHODE</t>
  </si>
  <si>
    <t>BEOORDLING</t>
  </si>
  <si>
    <t>CONTROLES</t>
  </si>
  <si>
    <t>FOUTCRITERIA HOUT</t>
  </si>
  <si>
    <t>FOUTCRITERIA METAAL</t>
  </si>
  <si>
    <t>VERSLAGLEGGING</t>
  </si>
  <si>
    <t>CHECKLIST</t>
  </si>
  <si>
    <t xml:space="preserve">BRANCHENORM </t>
  </si>
  <si>
    <t>20mm</t>
  </si>
  <si>
    <t>19mm</t>
  </si>
  <si>
    <t>Klemhuls</t>
  </si>
  <si>
    <t>Breeksterkte topwant steng</t>
  </si>
  <si>
    <t>6-8</t>
  </si>
  <si>
    <t>5-7</t>
  </si>
  <si>
    <t>26mm</t>
  </si>
  <si>
    <t>3mm</t>
  </si>
  <si>
    <t>5mm</t>
  </si>
  <si>
    <t>Green Pin H</t>
  </si>
  <si>
    <t>Vallijn giek</t>
  </si>
  <si>
    <t>Dubbele dirk</t>
  </si>
  <si>
    <t>22.51/52</t>
  </si>
  <si>
    <t>42.51/52</t>
  </si>
  <si>
    <t>62.51/52</t>
  </si>
  <si>
    <t>82.51/52</t>
  </si>
  <si>
    <t>22.00</t>
  </si>
  <si>
    <t>42.00</t>
  </si>
  <si>
    <t>62.00</t>
  </si>
  <si>
    <t>82.00</t>
  </si>
  <si>
    <t>Vallijn fokkeboom</t>
  </si>
  <si>
    <t>Fokkestag</t>
  </si>
  <si>
    <t>BRANCHE NORM BBZ</t>
  </si>
  <si>
    <t>Staal AISI 316</t>
  </si>
  <si>
    <t>Naar Index</t>
  </si>
  <si>
    <t>Gebruiksaanwijzing!J12</t>
  </si>
  <si>
    <t>Staal St37</t>
  </si>
  <si>
    <t>Staal St52</t>
  </si>
  <si>
    <t>Staal AISI 314</t>
  </si>
  <si>
    <t>Vliegerstag</t>
  </si>
  <si>
    <r>
      <t>Draaddiameter ten minste 18 mm en per 30 m</t>
    </r>
    <r>
      <rPr>
        <vertAlign val="superscript"/>
        <sz val="10"/>
        <color rgb="FF333333"/>
        <rFont val="Arial"/>
        <family val="2"/>
      </rPr>
      <t>2</t>
    </r>
    <r>
      <rPr>
        <sz val="10"/>
        <color rgb="FF333333"/>
        <rFont val="Arial"/>
        <family val="2"/>
      </rPr>
      <t> een schijf.</t>
    </r>
  </si>
  <si>
    <r>
      <t>Draaddiameter ten minste 14 mm en per 25 m</t>
    </r>
    <r>
      <rPr>
        <vertAlign val="superscript"/>
        <sz val="10"/>
        <color rgb="FF333333"/>
        <rFont val="Arial"/>
        <family val="2"/>
      </rPr>
      <t>2</t>
    </r>
    <r>
      <rPr>
        <sz val="10"/>
        <color rgb="FF333333"/>
        <rFont val="Arial"/>
        <family val="2"/>
      </rPr>
      <t> een schijf</t>
    </r>
  </si>
  <si>
    <t>Topwant Steng</t>
  </si>
  <si>
    <t>31.10/20</t>
  </si>
  <si>
    <t>Topwant mast</t>
  </si>
  <si>
    <t>34.00</t>
  </si>
  <si>
    <t>Europese standaard tot vaststelling van de technische voorschriften voor binnenschepen. De volledige tekst van hoofdstuk 20.05 tot 20.17 over de tuigage</t>
  </si>
  <si>
    <t>Volledige tekst van de brachenorm BBZ</t>
  </si>
  <si>
    <t>Datablad met invoergegevens van alle keuzemenu's</t>
  </si>
  <si>
    <t>Branchenorm</t>
  </si>
  <si>
    <t>6x7 FE</t>
  </si>
  <si>
    <t>6x19 FE</t>
  </si>
  <si>
    <t>1x19</t>
  </si>
  <si>
    <t>E</t>
  </si>
  <si>
    <r>
      <t>Staal (1770 N/m</t>
    </r>
    <r>
      <rPr>
        <sz val="11"/>
        <color theme="1"/>
        <rFont val="Calibri"/>
        <family val="2"/>
      </rPr>
      <t>²)</t>
    </r>
  </si>
  <si>
    <r>
      <t>Staal (1960 N/m</t>
    </r>
    <r>
      <rPr>
        <sz val="11"/>
        <color theme="1"/>
        <rFont val="Calibri"/>
        <family val="2"/>
      </rPr>
      <t>²)</t>
    </r>
  </si>
  <si>
    <t>RVS (AISI316)</t>
  </si>
  <si>
    <t>6x36 FE</t>
  </si>
  <si>
    <t>6x36 SE</t>
  </si>
  <si>
    <t>X</t>
  </si>
  <si>
    <t>Voor het draad in het staand want kan de keuze gemaakt worden uit materiaal, constructie en diameter. De volgende combinaties zitten in de database:</t>
  </si>
  <si>
    <t>Rod</t>
  </si>
  <si>
    <t>Nitronic 50</t>
  </si>
  <si>
    <t>Zit de combinatie niet in de database dan verschijnt #N/B, zit de betreffende diameter niet in de database dan verschijnt "-"</t>
  </si>
  <si>
    <t>Dyn Q1 Gevl.</t>
  </si>
  <si>
    <t>Dyn. Q1 Gevl.</t>
  </si>
  <si>
    <t>Hempex</t>
  </si>
  <si>
    <t>Maak een keuze voor het betreffende rondhout en vul een lengte in.</t>
  </si>
  <si>
    <t>=Keuzemenu</t>
  </si>
  <si>
    <t>=waarde invullen</t>
  </si>
  <si>
    <t>Lijst voor onderhoudslogboek en Estrin</t>
  </si>
  <si>
    <t>Vliegerval</t>
  </si>
  <si>
    <t>Vliegerschoot</t>
  </si>
  <si>
    <t>Jagerschoot</t>
  </si>
  <si>
    <t>ZEILEN</t>
  </si>
  <si>
    <t>Oppervlak</t>
  </si>
  <si>
    <t>10 Voorzeilen</t>
  </si>
  <si>
    <t>Buitenkluiver</t>
  </si>
  <si>
    <t>Gaffelzeil</t>
  </si>
  <si>
    <t>Torenzeil</t>
  </si>
  <si>
    <t>Bezaan</t>
  </si>
  <si>
    <t>Grootzeil</t>
  </si>
  <si>
    <t>Vlieger</t>
  </si>
  <si>
    <t>Binnenkluiver</t>
  </si>
  <si>
    <t>Kluiver</t>
  </si>
  <si>
    <t>Genua</t>
  </si>
  <si>
    <t>Spinnaker</t>
  </si>
  <si>
    <t>Schoenerzeil</t>
  </si>
  <si>
    <t>Stagzeil</t>
  </si>
  <si>
    <t>Stengestagzeil</t>
  </si>
  <si>
    <t>Hoofd- of onderwant</t>
  </si>
  <si>
    <t>F</t>
  </si>
  <si>
    <t>G</t>
  </si>
  <si>
    <t>H</t>
  </si>
  <si>
    <t>I</t>
  </si>
  <si>
    <t>Voor de constructie van de verschillende draden zie Tabblad Afbeeldingen:</t>
  </si>
  <si>
    <t>Afbeeldingen!A1</t>
  </si>
  <si>
    <t>AFBEELDINGEN</t>
  </si>
  <si>
    <t xml:space="preserve">Terug naar Gebruiksaanwijzing: </t>
  </si>
  <si>
    <t>Draadconstructies:</t>
  </si>
  <si>
    <t>Met hondsvot</t>
  </si>
  <si>
    <t>1SStr</t>
  </si>
  <si>
    <t>2SStr</t>
  </si>
  <si>
    <t>1SW</t>
  </si>
  <si>
    <t>2SW</t>
  </si>
  <si>
    <t>3SW</t>
  </si>
  <si>
    <t>1SHW</t>
  </si>
  <si>
    <t>2SHW</t>
  </si>
  <si>
    <t>3SHW</t>
  </si>
  <si>
    <t>1 Schijfs</t>
  </si>
  <si>
    <t>2 Schijfs</t>
  </si>
  <si>
    <t>3 Schijfs</t>
  </si>
  <si>
    <t>Met wartel</t>
  </si>
  <si>
    <t>Met hondsvot en wartel</t>
  </si>
  <si>
    <t>1SWH</t>
  </si>
  <si>
    <t>2SWH</t>
  </si>
  <si>
    <t>3SWH</t>
  </si>
  <si>
    <t>Stropblok</t>
  </si>
  <si>
    <t>Met beslag</t>
  </si>
  <si>
    <t>Vioolblok</t>
  </si>
  <si>
    <t>Vioolblok met hondsvot</t>
  </si>
  <si>
    <t>2SV</t>
  </si>
  <si>
    <t>2SHV</t>
  </si>
  <si>
    <t>Voetblok</t>
  </si>
  <si>
    <t>1SVt</t>
  </si>
  <si>
    <t>2SVt</t>
  </si>
  <si>
    <t>2SVi</t>
  </si>
  <si>
    <t>2SHVi</t>
  </si>
  <si>
    <t>1SVo</t>
  </si>
  <si>
    <t>2SVo</t>
  </si>
  <si>
    <t>Blokken hebben de volgende aanduidingen:</t>
  </si>
  <si>
    <t>Fok</t>
  </si>
  <si>
    <t>Het benoemen van onderdelen van de tuigage kan verschillen, net naar voorkeur. Daarom zitten er in het keuzemenu verschillende namen voor hetzelfde onderdeel.</t>
  </si>
  <si>
    <t>Bij voorbeeld fokkestag=voorstag.</t>
  </si>
  <si>
    <t>51.10/20</t>
  </si>
  <si>
    <t>71.10/20</t>
  </si>
  <si>
    <t>91.10/20</t>
  </si>
  <si>
    <t>Kousen:</t>
  </si>
  <si>
    <t>Materiaal Kous</t>
  </si>
  <si>
    <t>Staal gegalv.</t>
  </si>
  <si>
    <t xml:space="preserve">Draadkous </t>
  </si>
  <si>
    <t>Versterkte kous</t>
  </si>
  <si>
    <t>Kous DIN 6899</t>
  </si>
  <si>
    <t>Kous DIN 3090</t>
  </si>
  <si>
    <t>Kous DIN 3091</t>
  </si>
  <si>
    <t>Kous DIN 83 311</t>
  </si>
  <si>
    <t>DIN 6899</t>
  </si>
  <si>
    <t>Sluiting:</t>
  </si>
  <si>
    <t>DIN 82 101</t>
  </si>
  <si>
    <t xml:space="preserve">Er zijn drie soorten sluitingen in de database opgenomen, de Green Pin, Black Pin en de DIN82 101. In kolom T en U kunnen overige ingevuld worden. </t>
  </si>
  <si>
    <t>Voor afbeeldingen van Kousen zie:</t>
  </si>
  <si>
    <t>Afbeeldingen!1</t>
  </si>
  <si>
    <t xml:space="preserve">Voor afbeelding van sluitingen zie: </t>
  </si>
  <si>
    <t>Sb+Bb</t>
  </si>
  <si>
    <t>D-sluiting</t>
  </si>
  <si>
    <t>Harp-sluiting</t>
  </si>
  <si>
    <t>Soft</t>
  </si>
  <si>
    <t>Geslagen-3str.</t>
  </si>
  <si>
    <t>Brkstr [kN]</t>
  </si>
  <si>
    <t xml:space="preserve">Brkst </t>
  </si>
  <si>
    <t xml:space="preserve">Ø </t>
  </si>
  <si>
    <t>Touwkous</t>
  </si>
  <si>
    <t>Touwkous Nr34</t>
  </si>
  <si>
    <t>Messing</t>
  </si>
  <si>
    <t>Nylon</t>
  </si>
  <si>
    <t>Ronde kous</t>
  </si>
  <si>
    <t>Type nr1</t>
  </si>
  <si>
    <t>Type nr2</t>
  </si>
  <si>
    <t>["/mm]</t>
  </si>
  <si>
    <t>Brkst</t>
  </si>
  <si>
    <t>Brkst.</t>
  </si>
  <si>
    <t>Stagzeilval</t>
  </si>
  <si>
    <t>Stengestagzeilval</t>
  </si>
  <si>
    <t>26.40</t>
  </si>
  <si>
    <t>34.40</t>
  </si>
  <si>
    <t>41.40</t>
  </si>
  <si>
    <t>61.40</t>
  </si>
  <si>
    <t>81.40</t>
  </si>
  <si>
    <t>51.40</t>
  </si>
  <si>
    <t>71.40</t>
  </si>
  <si>
    <t>91.40</t>
  </si>
  <si>
    <t>26.21/22</t>
  </si>
  <si>
    <t>34.21/22</t>
  </si>
  <si>
    <t>41.21/22</t>
  </si>
  <si>
    <t>61.21/22</t>
  </si>
  <si>
    <t>81.21/22</t>
  </si>
  <si>
    <t>Stengestagzeilschoot</t>
  </si>
  <si>
    <t>51.21/22</t>
  </si>
  <si>
    <t>71.21/22</t>
  </si>
  <si>
    <t>91.21/22</t>
  </si>
  <si>
    <r>
      <t xml:space="preserve">Onder </t>
    </r>
    <r>
      <rPr>
        <b/>
        <sz val="11"/>
        <color theme="1"/>
        <rFont val="Calibri"/>
        <family val="2"/>
        <scheme val="minor"/>
      </rPr>
      <t xml:space="preserve">10 Boeg </t>
    </r>
    <r>
      <rPr>
        <sz val="11"/>
        <color theme="1"/>
        <rFont val="Calibri"/>
        <family val="2"/>
        <scheme val="minor"/>
      </rPr>
      <t xml:space="preserve">staat alleen de verstaging die niet de zeilen bedienen, maar lopend zijn, als boegstag, waterstag en kluiverstag. </t>
    </r>
  </si>
  <si>
    <t>Alle vallen (ID 40), schoten (ID 20), neerhalers (ID 30), dirken (ID 50) en brassen (ID 10) staan bij de respectievelijke masten.</t>
  </si>
  <si>
    <t>Afbeeldingen</t>
  </si>
  <si>
    <t>Zeilen!A1</t>
  </si>
  <si>
    <t>Voor masten 40-60-80:</t>
  </si>
  <si>
    <t>Mocht het rondhout niet in het keuzemenu staan dan zijn in kolom A en B de onderste velden per mast vrij om in te vullen.</t>
  </si>
  <si>
    <t xml:space="preserve">Het oppervlak van de zeilen zijn met betrekking tot Estrin bepalend voor de sterkte van de vallen en de schoten, zie </t>
  </si>
  <si>
    <t>Estrin!A266</t>
  </si>
  <si>
    <t>ID NUMMERS STAAND WANT:</t>
  </si>
  <si>
    <t>Bakboord</t>
  </si>
  <si>
    <t>.oneven</t>
  </si>
  <si>
    <t>Midscheeps</t>
  </si>
  <si>
    <t>.00</t>
  </si>
  <si>
    <t>Stuurboord</t>
  </si>
  <si>
    <t>.even</t>
  </si>
  <si>
    <t>21.20</t>
  </si>
  <si>
    <t>21.10</t>
  </si>
  <si>
    <t>Onderwant</t>
  </si>
  <si>
    <t>ID NUMMERS LOPEND WANT:</t>
  </si>
  <si>
    <t>21.22</t>
  </si>
  <si>
    <t>21.21</t>
  </si>
  <si>
    <t>.x0</t>
  </si>
  <si>
    <t>Brassen</t>
  </si>
  <si>
    <t>.10</t>
  </si>
  <si>
    <t>Schoten</t>
  </si>
  <si>
    <t>.20</t>
  </si>
  <si>
    <t>Neerhalers</t>
  </si>
  <si>
    <t>.30</t>
  </si>
  <si>
    <t>Vallen</t>
  </si>
  <si>
    <t>.40</t>
  </si>
  <si>
    <t>Dirken</t>
  </si>
  <si>
    <t>.50</t>
  </si>
  <si>
    <t>LIER</t>
  </si>
  <si>
    <t>of LIER</t>
  </si>
  <si>
    <t>Voor nummering van het staand want, zie</t>
  </si>
  <si>
    <t>Data!W4</t>
  </si>
  <si>
    <t>Teug naar gebruiksaanwijzing Staand want</t>
  </si>
  <si>
    <t>Gebruiksaanwijzing!A86</t>
  </si>
  <si>
    <t>Iepen</t>
  </si>
  <si>
    <t>Acacia</t>
  </si>
  <si>
    <t>Teak</t>
  </si>
  <si>
    <r>
      <t xml:space="preserve">Diameter </t>
    </r>
    <r>
      <rPr>
        <sz val="11"/>
        <color theme="1"/>
        <rFont val="Calibri"/>
        <family val="2"/>
      </rPr>
      <t>Ø [mm]</t>
    </r>
  </si>
  <si>
    <t>Periodiek onderhoud PO periode</t>
  </si>
  <si>
    <t>26.00</t>
  </si>
  <si>
    <t xml:space="preserve">RONDHOUTEN </t>
  </si>
  <si>
    <r>
      <t xml:space="preserve">Voor </t>
    </r>
    <r>
      <rPr>
        <sz val="11"/>
        <rFont val="Calibri"/>
        <family val="2"/>
      </rPr>
      <t>Ø spanner zie:</t>
    </r>
  </si>
  <si>
    <r>
      <t>Spanner (</t>
    </r>
    <r>
      <rPr>
        <b/>
        <sz val="18"/>
        <color theme="1"/>
        <rFont val="Calibri"/>
        <family val="2"/>
      </rPr>
      <t>Ø</t>
    </r>
    <r>
      <rPr>
        <b/>
        <sz val="26.1"/>
        <color theme="1"/>
        <rFont val="Calibri"/>
        <family val="2"/>
      </rPr>
      <t>=G)</t>
    </r>
  </si>
  <si>
    <t>Afbeeldingen!E7</t>
  </si>
  <si>
    <t>Voorstag/Fokkestag</t>
  </si>
  <si>
    <t xml:space="preserve">Afbeelding van spanner: </t>
  </si>
  <si>
    <t>NB: Een verstaging is zo sterk als de zwakste schakel!</t>
  </si>
  <si>
    <t>NB: Een val of schoot is zo sterk als de zwakste schakel!</t>
  </si>
  <si>
    <t>In Estrin; zie:</t>
  </si>
  <si>
    <t>Estrin!A217</t>
  </si>
  <si>
    <t>Gaffelzeilvallen</t>
  </si>
  <si>
    <t>Gaffelzeilschoten</t>
  </si>
  <si>
    <t>Grootzeilvallen</t>
  </si>
  <si>
    <t>Grootzeilschoten</t>
  </si>
  <si>
    <r>
      <t xml:space="preserve">Diameters </t>
    </r>
    <r>
      <rPr>
        <b/>
        <sz val="12"/>
        <color rgb="FFFF0000"/>
        <rFont val="Calibri"/>
        <family val="2"/>
      </rPr>
      <t>Ø</t>
    </r>
    <r>
      <rPr>
        <b/>
        <sz val="12"/>
        <color rgb="FFFF0000"/>
        <rFont val="Calibri"/>
        <family val="2"/>
        <scheme val="minor"/>
      </rPr>
      <t xml:space="preserve"> [cm] volgens Estrin</t>
    </r>
  </si>
  <si>
    <t>Zie:</t>
  </si>
  <si>
    <t>Estrin!A55</t>
  </si>
  <si>
    <t>Estrin!A92</t>
  </si>
  <si>
    <t>Estrin!A120</t>
  </si>
  <si>
    <t>Estrin!A144</t>
  </si>
  <si>
    <t>Estrin!A156</t>
  </si>
  <si>
    <t>Estrin!A181</t>
  </si>
  <si>
    <t>Alle witte velden in de eerste kolom A geven automatisch een administratief nummer van de betreffende tuigonderdelen, er kan ook iets ingevuld worden, dan verdwijnt echter de formule</t>
  </si>
  <si>
    <t>Alle witte velden in de kolommen voor breeksterkte  geven automatisch een waarde in [kN], er kan ook iets direct ingevuld worden, dan verdwijnt echter de formule.</t>
  </si>
  <si>
    <t>Hout</t>
  </si>
  <si>
    <t>Waterverplaatsing</t>
  </si>
  <si>
    <r>
      <t>[m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>]</t>
    </r>
  </si>
  <si>
    <t>BLOKKEN</t>
  </si>
  <si>
    <t>= wit veld is een formule, daar kan iets anders ingevuld worden, maar dan verdwijnt de achterliggende formule</t>
  </si>
  <si>
    <r>
      <t>Immer volgens de wet van Archimedes: Deplacement = waterverplaatsing x soortelijk gewicht van het water [ton]=[m</t>
    </r>
    <r>
      <rPr>
        <sz val="11"/>
        <color theme="1"/>
        <rFont val="Calibri"/>
        <family val="2"/>
      </rPr>
      <t>³]x[t/m³].</t>
    </r>
  </si>
  <si>
    <r>
      <t>Waterverplaatsing [m</t>
    </r>
    <r>
      <rPr>
        <sz val="11"/>
        <color theme="1"/>
        <rFont val="Calibri"/>
        <family val="2"/>
      </rPr>
      <t>³]</t>
    </r>
    <r>
      <rPr>
        <sz val="11"/>
        <color theme="1"/>
        <rFont val="Calibri"/>
        <family val="2"/>
        <scheme val="minor"/>
      </rPr>
      <t xml:space="preserve"> is afhankelijk van het soort water [ton/m</t>
    </r>
    <r>
      <rPr>
        <sz val="11"/>
        <color theme="1"/>
        <rFont val="Calibri"/>
        <family val="2"/>
      </rPr>
      <t>³]</t>
    </r>
    <r>
      <rPr>
        <sz val="11"/>
        <color theme="1"/>
        <rFont val="Calibri"/>
        <family val="2"/>
        <scheme val="minor"/>
      </rPr>
      <t xml:space="preserve"> waar het schip in drijft. Dus de waterverplaatsing is op het IJsselmeer een andere dan op de Waddenzee terwijl het scheepsgewicht, deplacement, niet verandert.</t>
    </r>
  </si>
  <si>
    <t>In dit werkblad kunnen de onderhoudswerkzaamheden vermeld worden.</t>
  </si>
  <si>
    <t>Datablad met afbeeldingen van draadconstructies, kousen en sluitingen en diameter van spanners</t>
  </si>
  <si>
    <t>Onbekend</t>
  </si>
  <si>
    <t>poly</t>
  </si>
  <si>
    <t>hempex</t>
  </si>
  <si>
    <t>GevlochtenDyneema</t>
  </si>
  <si>
    <t>Dit tuigboek template beperkt zich tot de in Estrin genoemde tuigonderdelen, voor een volledig tuigboek gebruik de PRO versie</t>
  </si>
  <si>
    <t>38mm</t>
  </si>
  <si>
    <t>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</si>
</sst>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General"/>
    <numFmt numFmtId="165" formatCode="0.0"/>
    <numFmt numFmtId="166" formatCode="d/mm/yy;@"/>
  </numFmts>
  <fonts count="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0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b/>
      <sz val="14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5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8"/>
      <color rgb="FFFF0000"/>
      <name val="Calibri"/>
      <family val="2"/>
      <scheme val="minor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26.1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1"/>
      <color rgb="FF92D050"/>
      <name val="Calibri"/>
      <family val="2"/>
      <scheme val="minor"/>
    </font>
    <font>
      <u/>
      <sz val="10"/>
      <color rgb="FF92D050"/>
      <name val="Arial"/>
      <family val="2"/>
    </font>
    <font>
      <b/>
      <sz val="18"/>
      <color rgb="FF92D05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4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5" fillId="0" borderId="0"/>
    <xf numFmtId="0" fontId="4" fillId="0" borderId="0"/>
    <xf numFmtId="0" fontId="41" fillId="0" borderId="0" applyNumberFormat="0" applyFill="0" applyBorder="0" applyAlignment="0" applyProtection="0"/>
  </cellStyleXfs>
  <cellXfs count="636">
    <xf numFmtId="0" fontId="0" fillId="0" borderId="0" xfId="0"/>
    <xf numFmtId="0" fontId="0" fillId="0" borderId="1" xfId="0" applyBorder="1"/>
    <xf numFmtId="0" fontId="2" fillId="2" borderId="0" xfId="0" applyFont="1" applyFill="1"/>
    <xf numFmtId="0" fontId="0" fillId="2" borderId="0" xfId="0" applyFill="1"/>
    <xf numFmtId="0" fontId="4" fillId="0" borderId="0" xfId="0" applyFont="1"/>
    <xf numFmtId="0" fontId="4" fillId="0" borderId="2" xfId="0" applyFont="1" applyBorder="1"/>
    <xf numFmtId="0" fontId="0" fillId="4" borderId="0" xfId="0" applyFill="1"/>
    <xf numFmtId="0" fontId="0" fillId="4" borderId="0" xfId="0" quotePrefix="1" applyFill="1"/>
    <xf numFmtId="0" fontId="1" fillId="2" borderId="0" xfId="0" applyFont="1" applyFill="1"/>
    <xf numFmtId="0" fontId="0" fillId="5" borderId="0" xfId="0" applyFill="1"/>
    <xf numFmtId="0" fontId="0" fillId="5" borderId="0" xfId="0" quotePrefix="1" applyFill="1"/>
    <xf numFmtId="0" fontId="0" fillId="6" borderId="3" xfId="0" applyFill="1" applyBorder="1"/>
    <xf numFmtId="0" fontId="0" fillId="0" borderId="5" xfId="0" applyBorder="1"/>
    <xf numFmtId="0" fontId="0" fillId="6" borderId="4" xfId="0" applyFill="1" applyBorder="1"/>
    <xf numFmtId="0" fontId="0" fillId="5" borderId="5" xfId="0" quotePrefix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3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" fillId="6" borderId="4" xfId="0" applyFont="1" applyFill="1" applyBorder="1"/>
    <xf numFmtId="0" fontId="0" fillId="6" borderId="4" xfId="0" quotePrefix="1" applyFill="1" applyBorder="1"/>
    <xf numFmtId="0" fontId="0" fillId="6" borderId="4" xfId="0" quotePrefix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9" xfId="0" applyBorder="1"/>
    <xf numFmtId="0" fontId="0" fillId="4" borderId="9" xfId="0" applyFill="1" applyBorder="1" applyAlignment="1">
      <alignment horizontal="center"/>
    </xf>
    <xf numFmtId="0" fontId="7" fillId="7" borderId="4" xfId="0" applyFont="1" applyFill="1" applyBorder="1"/>
    <xf numFmtId="0" fontId="11" fillId="6" borderId="3" xfId="0" applyFont="1" applyFill="1" applyBorder="1"/>
    <xf numFmtId="0" fontId="7" fillId="7" borderId="0" xfId="0" applyFont="1" applyFill="1" applyAlignment="1">
      <alignment horizontal="center"/>
    </xf>
    <xf numFmtId="0" fontId="9" fillId="7" borderId="10" xfId="0" applyFont="1" applyFill="1" applyBorder="1"/>
    <xf numFmtId="0" fontId="6" fillId="7" borderId="10" xfId="0" applyFont="1" applyFill="1" applyBorder="1"/>
    <xf numFmtId="0" fontId="0" fillId="7" borderId="7" xfId="0" applyFill="1" applyBorder="1"/>
    <xf numFmtId="0" fontId="1" fillId="2" borderId="0" xfId="0" applyFont="1" applyFill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1" xfId="0" applyFill="1" applyBorder="1"/>
    <xf numFmtId="0" fontId="5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12" fillId="0" borderId="0" xfId="0" applyFont="1"/>
    <xf numFmtId="0" fontId="0" fillId="6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5" fillId="7" borderId="0" xfId="0" applyFont="1" applyFill="1"/>
    <xf numFmtId="0" fontId="24" fillId="6" borderId="0" xfId="0" applyFont="1" applyFill="1"/>
    <xf numFmtId="0" fontId="11" fillId="6" borderId="0" xfId="0" applyFont="1" applyFill="1"/>
    <xf numFmtId="0" fontId="5" fillId="0" borderId="0" xfId="0" applyFont="1"/>
    <xf numFmtId="0" fontId="26" fillId="0" borderId="0" xfId="0" applyFont="1"/>
    <xf numFmtId="0" fontId="24" fillId="2" borderId="0" xfId="0" applyFont="1" applyFill="1"/>
    <xf numFmtId="0" fontId="1" fillId="5" borderId="0" xfId="0" quotePrefix="1" applyFont="1" applyFill="1"/>
    <xf numFmtId="0" fontId="27" fillId="2" borderId="0" xfId="0" applyFont="1" applyFill="1" applyAlignment="1">
      <alignment horizontal="center"/>
    </xf>
    <xf numFmtId="0" fontId="23" fillId="2" borderId="0" xfId="0" applyFont="1" applyFill="1"/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40" xfId="0" applyBorder="1"/>
    <xf numFmtId="0" fontId="0" fillId="0" borderId="34" xfId="0" applyBorder="1"/>
    <xf numFmtId="0" fontId="0" fillId="0" borderId="38" xfId="0" applyBorder="1"/>
    <xf numFmtId="0" fontId="0" fillId="0" borderId="2" xfId="0" applyBorder="1"/>
    <xf numFmtId="0" fontId="0" fillId="0" borderId="42" xfId="0" applyBorder="1"/>
    <xf numFmtId="0" fontId="0" fillId="0" borderId="35" xfId="0" applyBorder="1"/>
    <xf numFmtId="0" fontId="0" fillId="0" borderId="36" xfId="0" applyBorder="1"/>
    <xf numFmtId="0" fontId="0" fillId="0" borderId="28" xfId="0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27" fillId="0" borderId="1" xfId="0" applyFont="1" applyBorder="1" applyAlignment="1">
      <alignment horizontal="center"/>
    </xf>
    <xf numFmtId="0" fontId="1" fillId="0" borderId="5" xfId="0" applyFont="1" applyBorder="1"/>
    <xf numFmtId="0" fontId="24" fillId="0" borderId="0" xfId="0" applyFont="1"/>
    <xf numFmtId="0" fontId="28" fillId="7" borderId="0" xfId="0" applyFont="1" applyFill="1" applyAlignment="1">
      <alignment horizontal="left"/>
    </xf>
    <xf numFmtId="0" fontId="0" fillId="6" borderId="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13" borderId="0" xfId="0" applyFont="1" applyFill="1"/>
    <xf numFmtId="0" fontId="7" fillId="13" borderId="0" xfId="0" applyFont="1" applyFill="1" applyAlignment="1">
      <alignment horizontal="center"/>
    </xf>
    <xf numFmtId="0" fontId="7" fillId="13" borderId="0" xfId="0" applyFont="1" applyFill="1"/>
    <xf numFmtId="0" fontId="8" fillId="13" borderId="10" xfId="0" applyFont="1" applyFill="1" applyBorder="1"/>
    <xf numFmtId="0" fontId="7" fillId="13" borderId="4" xfId="0" applyFont="1" applyFill="1" applyBorder="1"/>
    <xf numFmtId="0" fontId="9" fillId="13" borderId="10" xfId="0" applyFont="1" applyFill="1" applyBorder="1"/>
    <xf numFmtId="0" fontId="6" fillId="13" borderId="10" xfId="0" applyFont="1" applyFill="1" applyBorder="1"/>
    <xf numFmtId="0" fontId="0" fillId="13" borderId="4" xfId="0" applyFill="1" applyBorder="1" applyAlignment="1">
      <alignment horizontal="center"/>
    </xf>
    <xf numFmtId="0" fontId="0" fillId="13" borderId="4" xfId="0" applyFill="1" applyBorder="1"/>
    <xf numFmtId="0" fontId="0" fillId="13" borderId="7" xfId="0" applyFill="1" applyBorder="1"/>
    <xf numFmtId="0" fontId="0" fillId="13" borderId="11" xfId="0" applyFill="1" applyBorder="1"/>
    <xf numFmtId="0" fontId="0" fillId="2" borderId="40" xfId="0" applyFill="1" applyBorder="1"/>
    <xf numFmtId="0" fontId="1" fillId="2" borderId="40" xfId="0" applyFont="1" applyFill="1" applyBorder="1"/>
    <xf numFmtId="0" fontId="0" fillId="0" borderId="0" xfId="0" quotePrefix="1"/>
    <xf numFmtId="0" fontId="0" fillId="0" borderId="5" xfId="0" applyBorder="1" applyAlignment="1">
      <alignment horizontal="center"/>
    </xf>
    <xf numFmtId="0" fontId="0" fillId="7" borderId="3" xfId="0" applyFill="1" applyBorder="1"/>
    <xf numFmtId="0" fontId="7" fillId="7" borderId="4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9" borderId="0" xfId="0" applyFill="1"/>
    <xf numFmtId="0" fontId="17" fillId="10" borderId="13" xfId="0" applyFont="1" applyFill="1" applyBorder="1" applyAlignment="1">
      <alignment horizontal="left" vertical="top" wrapText="1"/>
    </xf>
    <xf numFmtId="0" fontId="17" fillId="10" borderId="14" xfId="0" applyFont="1" applyFill="1" applyBorder="1" applyAlignment="1">
      <alignment horizontal="left" vertical="top" wrapText="1"/>
    </xf>
    <xf numFmtId="0" fontId="17" fillId="10" borderId="15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10" borderId="13" xfId="0" applyFont="1" applyFill="1" applyBorder="1"/>
    <xf numFmtId="0" fontId="19" fillId="10" borderId="14" xfId="0" applyFont="1" applyFill="1" applyBorder="1"/>
    <xf numFmtId="0" fontId="19" fillId="10" borderId="15" xfId="0" applyFont="1" applyFill="1" applyBorder="1"/>
    <xf numFmtId="0" fontId="16" fillId="10" borderId="19" xfId="0" applyFont="1" applyFill="1" applyBorder="1"/>
    <xf numFmtId="0" fontId="16" fillId="10" borderId="1" xfId="0" applyFont="1" applyFill="1" applyBorder="1"/>
    <xf numFmtId="0" fontId="19" fillId="10" borderId="1" xfId="0" applyFont="1" applyFill="1" applyBorder="1"/>
    <xf numFmtId="0" fontId="19" fillId="10" borderId="20" xfId="0" applyFont="1" applyFill="1" applyBorder="1"/>
    <xf numFmtId="0" fontId="19" fillId="5" borderId="21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/>
    <xf numFmtId="0" fontId="0" fillId="11" borderId="0" xfId="0" applyFill="1"/>
    <xf numFmtId="0" fontId="1" fillId="11" borderId="0" xfId="0" applyFont="1" applyFill="1" applyAlignment="1">
      <alignment horizontal="right"/>
    </xf>
    <xf numFmtId="0" fontId="0" fillId="11" borderId="0" xfId="0" applyFill="1" applyAlignment="1">
      <alignment horizontal="right"/>
    </xf>
    <xf numFmtId="0" fontId="0" fillId="4" borderId="34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1" fillId="0" borderId="0" xfId="0" applyFont="1"/>
    <xf numFmtId="0" fontId="17" fillId="10" borderId="14" xfId="0" applyFont="1" applyFill="1" applyBorder="1" applyAlignment="1">
      <alignment horizontal="center" vertical="top" wrapText="1"/>
    </xf>
    <xf numFmtId="0" fontId="30" fillId="0" borderId="0" xfId="0" applyFont="1"/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5" fillId="9" borderId="0" xfId="0" applyFont="1" applyFill="1"/>
    <xf numFmtId="0" fontId="19" fillId="10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9" fillId="10" borderId="14" xfId="0" applyFont="1" applyFill="1" applyBorder="1" applyAlignment="1">
      <alignment horizontal="left" vertical="top" wrapText="1"/>
    </xf>
    <xf numFmtId="0" fontId="19" fillId="10" borderId="15" xfId="0" applyFont="1" applyFill="1" applyBorder="1" applyAlignment="1">
      <alignment horizontal="left" vertical="top" wrapText="1"/>
    </xf>
    <xf numFmtId="0" fontId="28" fillId="11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20" fillId="0" borderId="46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0" fontId="19" fillId="14" borderId="16" xfId="0" applyFont="1" applyFill="1" applyBorder="1"/>
    <xf numFmtId="0" fontId="19" fillId="14" borderId="48" xfId="0" applyFont="1" applyFill="1" applyBorder="1"/>
    <xf numFmtId="0" fontId="19" fillId="14" borderId="51" xfId="0" applyFont="1" applyFill="1" applyBorder="1"/>
    <xf numFmtId="0" fontId="31" fillId="0" borderId="50" xfId="0" applyFont="1" applyBorder="1"/>
    <xf numFmtId="0" fontId="29" fillId="10" borderId="1" xfId="0" applyFont="1" applyFill="1" applyBorder="1"/>
    <xf numFmtId="0" fontId="16" fillId="10" borderId="13" xfId="0" applyFont="1" applyFill="1" applyBorder="1"/>
    <xf numFmtId="0" fontId="29" fillId="10" borderId="14" xfId="0" applyFont="1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10" borderId="16" xfId="0" applyFont="1" applyFill="1" applyBorder="1"/>
    <xf numFmtId="0" fontId="29" fillId="10" borderId="17" xfId="0" applyFon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6" fillId="5" borderId="17" xfId="0" applyFont="1" applyFill="1" applyBorder="1" applyAlignment="1">
      <alignment horizontal="center"/>
    </xf>
    <xf numFmtId="0" fontId="16" fillId="10" borderId="45" xfId="0" applyFont="1" applyFill="1" applyBorder="1" applyAlignment="1">
      <alignment vertical="top"/>
    </xf>
    <xf numFmtId="0" fontId="16" fillId="10" borderId="46" xfId="0" applyFont="1" applyFill="1" applyBorder="1"/>
    <xf numFmtId="0" fontId="16" fillId="10" borderId="47" xfId="0" applyFont="1" applyFill="1" applyBorder="1" applyAlignment="1">
      <alignment wrapText="1"/>
    </xf>
    <xf numFmtId="0" fontId="32" fillId="15" borderId="0" xfId="0" applyFont="1" applyFill="1" applyAlignment="1">
      <alignment horizontal="left" vertical="center" wrapText="1"/>
    </xf>
    <xf numFmtId="0" fontId="32" fillId="15" borderId="1" xfId="0" applyFont="1" applyFill="1" applyBorder="1" applyAlignment="1">
      <alignment horizontal="left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32" fillId="15" borderId="35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 wrapText="1"/>
    </xf>
    <xf numFmtId="0" fontId="34" fillId="10" borderId="14" xfId="0" applyFont="1" applyFill="1" applyBorder="1" applyAlignment="1">
      <alignment horizontal="center" vertical="center" wrapText="1"/>
    </xf>
    <xf numFmtId="0" fontId="34" fillId="10" borderId="15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 wrapText="1"/>
    </xf>
    <xf numFmtId="0" fontId="32" fillId="15" borderId="21" xfId="0" applyFont="1" applyFill="1" applyBorder="1" applyAlignment="1">
      <alignment horizontal="left" vertical="center" wrapText="1"/>
    </xf>
    <xf numFmtId="0" fontId="18" fillId="15" borderId="54" xfId="0" applyFont="1" applyFill="1" applyBorder="1" applyAlignment="1">
      <alignment horizontal="left" vertical="top" wrapText="1"/>
    </xf>
    <xf numFmtId="0" fontId="32" fillId="15" borderId="54" xfId="0" applyFont="1" applyFill="1" applyBorder="1" applyAlignment="1">
      <alignment horizontal="left" vertical="center" wrapText="1"/>
    </xf>
    <xf numFmtId="0" fontId="18" fillId="15" borderId="23" xfId="0" applyFont="1" applyFill="1" applyBorder="1" applyAlignment="1">
      <alignment horizontal="left" vertical="top" wrapText="1"/>
    </xf>
    <xf numFmtId="0" fontId="32" fillId="15" borderId="20" xfId="0" applyFont="1" applyFill="1" applyBorder="1" applyAlignment="1">
      <alignment horizontal="center" vertical="top" wrapText="1"/>
    </xf>
    <xf numFmtId="0" fontId="32" fillId="15" borderId="17" xfId="0" applyFont="1" applyFill="1" applyBorder="1" applyAlignment="1">
      <alignment horizontal="left" vertical="center" wrapText="1"/>
    </xf>
    <xf numFmtId="0" fontId="19" fillId="14" borderId="25" xfId="0" applyFont="1" applyFill="1" applyBorder="1"/>
    <xf numFmtId="0" fontId="19" fillId="14" borderId="26" xfId="0" applyFont="1" applyFill="1" applyBorder="1"/>
    <xf numFmtId="0" fontId="19" fillId="12" borderId="0" xfId="0" applyFont="1" applyFill="1" applyAlignment="1">
      <alignment horizontal="left" vertical="top" wrapText="1"/>
    </xf>
    <xf numFmtId="0" fontId="19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19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14" borderId="45" xfId="0" applyFont="1" applyFill="1" applyBorder="1"/>
    <xf numFmtId="0" fontId="32" fillId="15" borderId="1" xfId="0" applyFont="1" applyFill="1" applyBorder="1" applyAlignment="1">
      <alignment horizontal="right" vertical="center" wrapText="1"/>
    </xf>
    <xf numFmtId="0" fontId="32" fillId="15" borderId="14" xfId="0" applyFont="1" applyFill="1" applyBorder="1" applyAlignment="1">
      <alignment horizontal="right" vertical="center" wrapText="1"/>
    </xf>
    <xf numFmtId="0" fontId="32" fillId="15" borderId="15" xfId="0" applyFont="1" applyFill="1" applyBorder="1" applyAlignment="1">
      <alignment horizontal="right" vertical="center" wrapText="1"/>
    </xf>
    <xf numFmtId="0" fontId="32" fillId="15" borderId="20" xfId="0" applyFont="1" applyFill="1" applyBorder="1" applyAlignment="1">
      <alignment horizontal="right" vertical="center" wrapText="1"/>
    </xf>
    <xf numFmtId="0" fontId="32" fillId="15" borderId="17" xfId="0" applyFont="1" applyFill="1" applyBorder="1" applyAlignment="1">
      <alignment horizontal="right" vertical="center" wrapText="1"/>
    </xf>
    <xf numFmtId="0" fontId="32" fillId="15" borderId="18" xfId="0" applyFont="1" applyFill="1" applyBorder="1" applyAlignment="1">
      <alignment horizontal="right" vertical="center" wrapText="1"/>
    </xf>
    <xf numFmtId="0" fontId="34" fillId="10" borderId="13" xfId="0" applyFont="1" applyFill="1" applyBorder="1" applyAlignment="1">
      <alignment horizontal="left" vertical="center" wrapText="1"/>
    </xf>
    <xf numFmtId="0" fontId="34" fillId="10" borderId="19" xfId="0" applyFont="1" applyFill="1" applyBorder="1" applyAlignment="1">
      <alignment horizontal="left" vertical="center" wrapText="1"/>
    </xf>
    <xf numFmtId="0" fontId="34" fillId="10" borderId="16" xfId="0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6" fillId="0" borderId="0" xfId="0" applyFont="1"/>
    <xf numFmtId="0" fontId="18" fillId="0" borderId="0" xfId="0" applyFont="1"/>
    <xf numFmtId="0" fontId="37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40" fillId="9" borderId="0" xfId="0" applyFont="1" applyFill="1"/>
    <xf numFmtId="0" fontId="5" fillId="9" borderId="0" xfId="0" applyFont="1" applyFill="1" applyAlignment="1">
      <alignment horizontal="left"/>
    </xf>
    <xf numFmtId="0" fontId="40" fillId="9" borderId="0" xfId="0" applyFont="1" applyFill="1" applyAlignment="1">
      <alignment horizontal="left"/>
    </xf>
    <xf numFmtId="0" fontId="0" fillId="7" borderId="6" xfId="0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7" fillId="13" borderId="40" xfId="0" applyFont="1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1" fillId="2" borderId="40" xfId="0" applyFont="1" applyFill="1" applyBorder="1" applyAlignment="1">
      <alignment horizontal="center" vertical="center"/>
    </xf>
    <xf numFmtId="165" fontId="0" fillId="0" borderId="0" xfId="0" applyNumberFormat="1"/>
    <xf numFmtId="165" fontId="0" fillId="0" borderId="5" xfId="0" applyNumberFormat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0" fontId="7" fillId="13" borderId="40" xfId="0" applyFont="1" applyFill="1" applyBorder="1"/>
    <xf numFmtId="0" fontId="7" fillId="13" borderId="6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4" fillId="0" borderId="0" xfId="2"/>
    <xf numFmtId="0" fontId="4" fillId="0" borderId="50" xfId="2" applyBorder="1"/>
    <xf numFmtId="0" fontId="36" fillId="12" borderId="1" xfId="2" applyFont="1" applyFill="1" applyBorder="1" applyAlignment="1">
      <alignment horizontal="center"/>
    </xf>
    <xf numFmtId="0" fontId="36" fillId="12" borderId="1" xfId="2" applyFont="1" applyFill="1" applyBorder="1" applyAlignment="1">
      <alignment horizontal="left" wrapText="1"/>
    </xf>
    <xf numFmtId="0" fontId="36" fillId="12" borderId="17" xfId="2" applyFont="1" applyFill="1" applyBorder="1" applyAlignment="1">
      <alignment horizontal="left" wrapText="1"/>
    </xf>
    <xf numFmtId="0" fontId="38" fillId="0" borderId="11" xfId="2" applyFont="1" applyBorder="1" applyAlignment="1">
      <alignment horizontal="center" vertical="center"/>
    </xf>
    <xf numFmtId="0" fontId="28" fillId="12" borderId="4" xfId="2" applyFont="1" applyFill="1" applyBorder="1" applyAlignment="1">
      <alignment horizontal="center" vertical="center" wrapText="1"/>
    </xf>
    <xf numFmtId="0" fontId="38" fillId="12" borderId="7" xfId="2" applyFont="1" applyFill="1" applyBorder="1" applyAlignment="1">
      <alignment horizontal="center" vertical="center" wrapText="1"/>
    </xf>
    <xf numFmtId="0" fontId="28" fillId="12" borderId="58" xfId="2" applyFont="1" applyFill="1" applyBorder="1" applyAlignment="1">
      <alignment horizontal="center" vertical="center" wrapText="1"/>
    </xf>
    <xf numFmtId="0" fontId="4" fillId="0" borderId="22" xfId="2" applyBorder="1" applyAlignment="1">
      <alignment vertical="top"/>
    </xf>
    <xf numFmtId="0" fontId="4" fillId="0" borderId="20" xfId="2" applyBorder="1" applyAlignment="1">
      <alignment vertical="top"/>
    </xf>
    <xf numFmtId="0" fontId="4" fillId="0" borderId="0" xfId="2" applyAlignment="1">
      <alignment vertical="top"/>
    </xf>
    <xf numFmtId="0" fontId="4" fillId="0" borderId="18" xfId="2" applyBorder="1" applyAlignment="1">
      <alignment vertical="top"/>
    </xf>
    <xf numFmtId="0" fontId="4" fillId="0" borderId="37" xfId="2" applyBorder="1" applyAlignment="1">
      <alignment vertical="top"/>
    </xf>
    <xf numFmtId="0" fontId="4" fillId="0" borderId="59" xfId="2" applyBorder="1" applyAlignment="1">
      <alignment vertical="top"/>
    </xf>
    <xf numFmtId="0" fontId="4" fillId="0" borderId="24" xfId="2" applyBorder="1" applyAlignment="1">
      <alignment vertical="top"/>
    </xf>
    <xf numFmtId="0" fontId="36" fillId="12" borderId="1" xfId="2" applyFont="1" applyFill="1" applyBorder="1" applyAlignment="1">
      <alignment horizontal="center" vertical="center"/>
    </xf>
    <xf numFmtId="0" fontId="36" fillId="12" borderId="17" xfId="2" applyFont="1" applyFill="1" applyBorder="1" applyAlignment="1">
      <alignment horizontal="center" vertical="center"/>
    </xf>
    <xf numFmtId="0" fontId="36" fillId="12" borderId="27" xfId="2" applyFont="1" applyFill="1" applyBorder="1" applyAlignment="1">
      <alignment vertical="top"/>
    </xf>
    <xf numFmtId="0" fontId="36" fillId="12" borderId="60" xfId="2" applyFont="1" applyFill="1" applyBorder="1" applyAlignment="1">
      <alignment vertical="top"/>
    </xf>
    <xf numFmtId="0" fontId="7" fillId="7" borderId="6" xfId="0" quotePrefix="1" applyFont="1" applyFill="1" applyBorder="1" applyAlignment="1">
      <alignment horizontal="center"/>
    </xf>
    <xf numFmtId="0" fontId="7" fillId="13" borderId="6" xfId="0" quotePrefix="1" applyFont="1" applyFill="1" applyBorder="1" applyAlignment="1">
      <alignment horizontal="center"/>
    </xf>
    <xf numFmtId="0" fontId="7" fillId="13" borderId="8" xfId="0" quotePrefix="1" applyFont="1" applyFill="1" applyBorder="1" applyAlignment="1">
      <alignment horizontal="center"/>
    </xf>
    <xf numFmtId="0" fontId="44" fillId="0" borderId="0" xfId="0" applyFont="1"/>
    <xf numFmtId="0" fontId="0" fillId="13" borderId="3" xfId="0" applyFill="1" applyBorder="1"/>
    <xf numFmtId="0" fontId="36" fillId="12" borderId="61" xfId="2" applyFont="1" applyFill="1" applyBorder="1" applyAlignment="1">
      <alignment vertical="top"/>
    </xf>
    <xf numFmtId="0" fontId="36" fillId="12" borderId="5" xfId="2" applyFont="1" applyFill="1" applyBorder="1" applyAlignment="1">
      <alignment horizontal="center"/>
    </xf>
    <xf numFmtId="0" fontId="36" fillId="12" borderId="9" xfId="2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41" fillId="0" borderId="0" xfId="3"/>
    <xf numFmtId="0" fontId="2" fillId="2" borderId="13" xfId="0" applyFont="1" applyFill="1" applyBorder="1"/>
    <xf numFmtId="0" fontId="0" fillId="0" borderId="19" xfId="0" applyBorder="1"/>
    <xf numFmtId="0" fontId="6" fillId="3" borderId="13" xfId="0" applyFont="1" applyFill="1" applyBorder="1"/>
    <xf numFmtId="0" fontId="0" fillId="4" borderId="14" xfId="0" applyFill="1" applyBorder="1" applyAlignment="1">
      <alignment horizontal="center" vertical="center"/>
    </xf>
    <xf numFmtId="0" fontId="0" fillId="3" borderId="15" xfId="0" applyFill="1" applyBorder="1"/>
    <xf numFmtId="0" fontId="1" fillId="3" borderId="19" xfId="0" applyFont="1" applyFill="1" applyBorder="1"/>
    <xf numFmtId="0" fontId="0" fillId="3" borderId="20" xfId="0" applyFill="1" applyBorder="1"/>
    <xf numFmtId="0" fontId="0" fillId="0" borderId="50" xfId="0" applyBorder="1"/>
    <xf numFmtId="0" fontId="0" fillId="0" borderId="33" xfId="0" applyBorder="1"/>
    <xf numFmtId="0" fontId="0" fillId="3" borderId="18" xfId="0" applyFill="1" applyBorder="1"/>
    <xf numFmtId="2" fontId="0" fillId="4" borderId="1" xfId="0" applyNumberFormat="1" applyFill="1" applyBorder="1" applyAlignment="1">
      <alignment horizontal="center" vertical="center"/>
    </xf>
    <xf numFmtId="0" fontId="41" fillId="2" borderId="0" xfId="3" applyFill="1"/>
    <xf numFmtId="0" fontId="41" fillId="6" borderId="3" xfId="3" applyFill="1" applyBorder="1" applyAlignment="1">
      <alignment horizontal="center"/>
    </xf>
    <xf numFmtId="0" fontId="0" fillId="0" borderId="3" xfId="0" applyBorder="1" applyAlignment="1">
      <alignment horizontal="right"/>
    </xf>
    <xf numFmtId="0" fontId="7" fillId="13" borderId="40" xfId="0" applyFont="1" applyFill="1" applyBorder="1" applyAlignment="1">
      <alignment horizontal="right"/>
    </xf>
    <xf numFmtId="0" fontId="41" fillId="13" borderId="0" xfId="3" applyFill="1" applyBorder="1" applyAlignment="1">
      <alignment horizontal="center"/>
    </xf>
    <xf numFmtId="0" fontId="39" fillId="0" borderId="0" xfId="0" applyFont="1" applyAlignment="1">
      <alignment horizontal="left"/>
    </xf>
    <xf numFmtId="0" fontId="41" fillId="0" borderId="0" xfId="3" applyFill="1"/>
    <xf numFmtId="166" fontId="5" fillId="0" borderId="0" xfId="0" applyNumberFormat="1" applyFont="1"/>
    <xf numFmtId="0" fontId="25" fillId="13" borderId="0" xfId="0" applyFon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13" borderId="0" xfId="0" applyFill="1"/>
    <xf numFmtId="0" fontId="41" fillId="6" borderId="0" xfId="3" applyFill="1" applyBorder="1"/>
    <xf numFmtId="0" fontId="41" fillId="7" borderId="0" xfId="3" applyFill="1" applyBorder="1"/>
    <xf numFmtId="0" fontId="0" fillId="17" borderId="0" xfId="0" applyFill="1"/>
    <xf numFmtId="0" fontId="25" fillId="17" borderId="0" xfId="0" applyFont="1" applyFill="1"/>
    <xf numFmtId="0" fontId="0" fillId="0" borderId="0" xfId="0" quotePrefix="1" applyAlignment="1">
      <alignment horizontal="center"/>
    </xf>
    <xf numFmtId="0" fontId="0" fillId="0" borderId="40" xfId="0" quotePrefix="1" applyBorder="1"/>
    <xf numFmtId="165" fontId="0" fillId="0" borderId="34" xfId="0" applyNumberFormat="1" applyBorder="1" applyAlignment="1">
      <alignment horizontal="center"/>
    </xf>
    <xf numFmtId="165" fontId="0" fillId="2" borderId="0" xfId="0" applyNumberFormat="1" applyFill="1"/>
    <xf numFmtId="12" fontId="0" fillId="0" borderId="0" xfId="0" quotePrefix="1" applyNumberFormat="1" applyAlignment="1">
      <alignment horizontal="center"/>
    </xf>
    <xf numFmtId="13" fontId="0" fillId="0" borderId="0" xfId="0" quotePrefix="1" applyNumberFormat="1" applyAlignment="1">
      <alignment horizontal="center"/>
    </xf>
    <xf numFmtId="13" fontId="0" fillId="0" borderId="2" xfId="0" quotePrefix="1" applyNumberFormat="1" applyBorder="1" applyAlignment="1">
      <alignment horizontal="center"/>
    </xf>
    <xf numFmtId="13" fontId="0" fillId="0" borderId="0" xfId="0" quotePrefix="1" applyNumberFormat="1" applyAlignment="1">
      <alignment horizontal="left"/>
    </xf>
    <xf numFmtId="0" fontId="0" fillId="0" borderId="40" xfId="0" applyBorder="1" applyAlignment="1">
      <alignment horizontal="center"/>
    </xf>
    <xf numFmtId="0" fontId="12" fillId="0" borderId="40" xfId="0" applyFont="1" applyBorder="1"/>
    <xf numFmtId="0" fontId="0" fillId="0" borderId="39" xfId="0" quotePrefix="1" applyBorder="1" applyAlignment="1">
      <alignment horizontal="center"/>
    </xf>
    <xf numFmtId="0" fontId="0" fillId="0" borderId="41" xfId="0" quotePrefix="1" applyBorder="1" applyAlignment="1">
      <alignment horizontal="center"/>
    </xf>
    <xf numFmtId="165" fontId="0" fillId="0" borderId="40" xfId="0" applyNumberFormat="1" applyBorder="1"/>
    <xf numFmtId="0" fontId="0" fillId="0" borderId="42" xfId="0" quotePrefix="1" applyBorder="1" applyAlignment="1">
      <alignment horizontal="center"/>
    </xf>
    <xf numFmtId="0" fontId="0" fillId="18" borderId="0" xfId="0" applyFill="1" applyAlignment="1">
      <alignment vertical="center" readingOrder="1"/>
    </xf>
    <xf numFmtId="0" fontId="0" fillId="18" borderId="0" xfId="0" applyFill="1"/>
    <xf numFmtId="0" fontId="45" fillId="18" borderId="0" xfId="0" applyFont="1" applyFill="1"/>
    <xf numFmtId="0" fontId="46" fillId="18" borderId="0" xfId="0" applyFont="1" applyFill="1"/>
    <xf numFmtId="0" fontId="23" fillId="18" borderId="0" xfId="0" applyFont="1" applyFill="1"/>
    <xf numFmtId="2" fontId="0" fillId="0" borderId="0" xfId="0" applyNumberFormat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/>
    </xf>
    <xf numFmtId="2" fontId="0" fillId="0" borderId="41" xfId="0" quotePrefix="1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7" borderId="6" xfId="0" applyFont="1" applyFill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0" xfId="0" applyNumberFormat="1"/>
    <xf numFmtId="0" fontId="0" fillId="2" borderId="40" xfId="0" applyFill="1" applyBorder="1" applyAlignment="1">
      <alignment horizontal="center"/>
    </xf>
    <xf numFmtId="0" fontId="48" fillId="7" borderId="4" xfId="0" applyFont="1" applyFill="1" applyBorder="1"/>
    <xf numFmtId="0" fontId="49" fillId="7" borderId="7" xfId="0" applyFont="1" applyFill="1" applyBorder="1" applyAlignment="1">
      <alignment horizontal="center"/>
    </xf>
    <xf numFmtId="0" fontId="48" fillId="7" borderId="7" xfId="0" applyFont="1" applyFill="1" applyBorder="1" applyAlignment="1">
      <alignment horizontal="center"/>
    </xf>
    <xf numFmtId="0" fontId="47" fillId="4" borderId="5" xfId="0" applyFont="1" applyFill="1" applyBorder="1" applyAlignment="1">
      <alignment horizontal="center"/>
    </xf>
    <xf numFmtId="0" fontId="47" fillId="4" borderId="34" xfId="0" applyFont="1" applyFill="1" applyBorder="1" applyAlignment="1">
      <alignment horizontal="center"/>
    </xf>
    <xf numFmtId="0" fontId="47" fillId="7" borderId="0" xfId="0" applyFont="1" applyFill="1" applyAlignment="1">
      <alignment horizontal="center"/>
    </xf>
    <xf numFmtId="0" fontId="47" fillId="7" borderId="4" xfId="0" applyFont="1" applyFill="1" applyBorder="1"/>
    <xf numFmtId="0" fontId="48" fillId="7" borderId="6" xfId="0" applyFont="1" applyFill="1" applyBorder="1"/>
    <xf numFmtId="0" fontId="5" fillId="6" borderId="6" xfId="0" applyFont="1" applyFill="1" applyBorder="1" applyAlignment="1">
      <alignment horizontal="center"/>
    </xf>
    <xf numFmtId="0" fontId="7" fillId="7" borderId="6" xfId="0" quotePrefix="1" applyFont="1" applyFill="1" applyBorder="1"/>
    <xf numFmtId="0" fontId="7" fillId="7" borderId="4" xfId="0" quotePrefix="1" applyFont="1" applyFill="1" applyBorder="1"/>
    <xf numFmtId="0" fontId="7" fillId="7" borderId="8" xfId="0" quotePrefix="1" applyFont="1" applyFill="1" applyBorder="1"/>
    <xf numFmtId="0" fontId="5" fillId="13" borderId="6" xfId="0" applyFont="1" applyFill="1" applyBorder="1" applyAlignment="1">
      <alignment vertical="center"/>
    </xf>
    <xf numFmtId="0" fontId="0" fillId="13" borderId="8" xfId="0" applyFill="1" applyBorder="1" applyAlignment="1">
      <alignment vertical="center"/>
    </xf>
    <xf numFmtId="0" fontId="0" fillId="13" borderId="57" xfId="0" applyFill="1" applyBorder="1"/>
    <xf numFmtId="0" fontId="0" fillId="13" borderId="6" xfId="0" applyFill="1" applyBorder="1"/>
    <xf numFmtId="165" fontId="0" fillId="0" borderId="41" xfId="0" applyNumberFormat="1" applyBorder="1" applyAlignment="1">
      <alignment horizontal="center"/>
    </xf>
    <xf numFmtId="165" fontId="0" fillId="0" borderId="41" xfId="0" quotePrefix="1" applyNumberFormat="1" applyBorder="1" applyAlignment="1">
      <alignment horizontal="center"/>
    </xf>
    <xf numFmtId="165" fontId="0" fillId="0" borderId="42" xfId="0" quotePrefix="1" applyNumberForma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0" fillId="6" borderId="7" xfId="0" applyFont="1" applyFill="1" applyBorder="1" applyAlignment="1">
      <alignment horizontal="center"/>
    </xf>
    <xf numFmtId="0" fontId="48" fillId="7" borderId="62" xfId="0" quotePrefix="1" applyFont="1" applyFill="1" applyBorder="1" applyAlignment="1">
      <alignment horizontal="center"/>
    </xf>
    <xf numFmtId="0" fontId="48" fillId="7" borderId="3" xfId="0" applyFont="1" applyFill="1" applyBorder="1"/>
    <xf numFmtId="0" fontId="49" fillId="7" borderId="62" xfId="0" applyFont="1" applyFill="1" applyBorder="1" applyAlignment="1">
      <alignment horizontal="center"/>
    </xf>
    <xf numFmtId="0" fontId="48" fillId="7" borderId="62" xfId="0" applyFont="1" applyFill="1" applyBorder="1" applyAlignment="1">
      <alignment horizontal="center"/>
    </xf>
    <xf numFmtId="0" fontId="8" fillId="7" borderId="48" xfId="0" applyFont="1" applyFill="1" applyBorder="1"/>
    <xf numFmtId="0" fontId="5" fillId="7" borderId="57" xfId="0" applyFont="1" applyFill="1" applyBorder="1" applyAlignment="1">
      <alignment horizontal="center" vertical="center"/>
    </xf>
    <xf numFmtId="0" fontId="7" fillId="7" borderId="57" xfId="0" applyFont="1" applyFill="1" applyBorder="1"/>
    <xf numFmtId="0" fontId="7" fillId="7" borderId="3" xfId="0" applyFont="1" applyFill="1" applyBorder="1"/>
    <xf numFmtId="0" fontId="10" fillId="7" borderId="3" xfId="0" applyFont="1" applyFill="1" applyBorder="1"/>
    <xf numFmtId="0" fontId="7" fillId="7" borderId="3" xfId="0" applyFont="1" applyFill="1" applyBorder="1" applyAlignment="1">
      <alignment horizontal="right"/>
    </xf>
    <xf numFmtId="0" fontId="41" fillId="7" borderId="3" xfId="3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57" xfId="0" applyFont="1" applyFill="1" applyBorder="1" applyAlignment="1">
      <alignment horizontal="center"/>
    </xf>
    <xf numFmtId="0" fontId="51" fillId="0" borderId="37" xfId="0" applyFont="1" applyBorder="1"/>
    <xf numFmtId="0" fontId="51" fillId="0" borderId="38" xfId="0" applyFont="1" applyBorder="1"/>
    <xf numFmtId="165" fontId="0" fillId="0" borderId="39" xfId="0" quotePrefix="1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7" fillId="7" borderId="6" xfId="0" quotePrefix="1" applyFont="1" applyFill="1" applyBorder="1" applyAlignment="1">
      <alignment horizontal="center" vertical="center"/>
    </xf>
    <xf numFmtId="0" fontId="7" fillId="7" borderId="34" xfId="0" quotePrefix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8" fillId="7" borderId="57" xfId="0" quotePrefix="1" applyFont="1" applyFill="1" applyBorder="1" applyAlignment="1">
      <alignment horizontal="center"/>
    </xf>
    <xf numFmtId="0" fontId="49" fillId="7" borderId="8" xfId="0" applyFont="1" applyFill="1" applyBorder="1" applyAlignment="1">
      <alignment horizontal="center"/>
    </xf>
    <xf numFmtId="0" fontId="48" fillId="7" borderId="12" xfId="0" applyFont="1" applyFill="1" applyBorder="1" applyAlignment="1">
      <alignment horizontal="center"/>
    </xf>
    <xf numFmtId="0" fontId="47" fillId="7" borderId="40" xfId="0" applyFont="1" applyFill="1" applyBorder="1" applyAlignment="1">
      <alignment horizontal="center"/>
    </xf>
    <xf numFmtId="0" fontId="7" fillId="13" borderId="4" xfId="0" quotePrefix="1" applyFont="1" applyFill="1" applyBorder="1" applyAlignment="1">
      <alignment horizontal="center"/>
    </xf>
    <xf numFmtId="0" fontId="26" fillId="0" borderId="40" xfId="0" applyFont="1" applyBorder="1"/>
    <xf numFmtId="0" fontId="0" fillId="4" borderId="0" xfId="0" quotePrefix="1" applyFill="1" applyAlignment="1">
      <alignment horizontal="left" vertical="center"/>
    </xf>
    <xf numFmtId="0" fontId="54" fillId="6" borderId="4" xfId="0" applyFont="1" applyFill="1" applyBorder="1" applyAlignment="1">
      <alignment horizontal="center"/>
    </xf>
    <xf numFmtId="0" fontId="48" fillId="13" borderId="4" xfId="0" applyFont="1" applyFill="1" applyBorder="1"/>
    <xf numFmtId="0" fontId="48" fillId="13" borderId="7" xfId="0" quotePrefix="1" applyFont="1" applyFill="1" applyBorder="1" applyAlignment="1">
      <alignment horizontal="center"/>
    </xf>
    <xf numFmtId="0" fontId="48" fillId="13" borderId="6" xfId="0" quotePrefix="1" applyFont="1" applyFill="1" applyBorder="1" applyAlignment="1">
      <alignment horizontal="center"/>
    </xf>
    <xf numFmtId="0" fontId="49" fillId="13" borderId="7" xfId="0" applyFont="1" applyFill="1" applyBorder="1" applyAlignment="1">
      <alignment horizontal="center"/>
    </xf>
    <xf numFmtId="0" fontId="48" fillId="13" borderId="6" xfId="0" applyFont="1" applyFill="1" applyBorder="1" applyAlignment="1">
      <alignment horizontal="center"/>
    </xf>
    <xf numFmtId="0" fontId="48" fillId="13" borderId="7" xfId="0" applyFont="1" applyFill="1" applyBorder="1" applyAlignment="1">
      <alignment horizontal="center"/>
    </xf>
    <xf numFmtId="0" fontId="47" fillId="13" borderId="4" xfId="0" applyFont="1" applyFill="1" applyBorder="1"/>
    <xf numFmtId="0" fontId="47" fillId="13" borderId="6" xfId="0" applyFont="1" applyFill="1" applyBorder="1"/>
    <xf numFmtId="0" fontId="50" fillId="13" borderId="6" xfId="0" quotePrefix="1" applyFont="1" applyFill="1" applyBorder="1" applyAlignment="1">
      <alignment horizontal="center"/>
    </xf>
    <xf numFmtId="0" fontId="48" fillId="7" borderId="6" xfId="0" quotePrefix="1" applyFont="1" applyFill="1" applyBorder="1" applyAlignment="1">
      <alignment horizontal="center"/>
    </xf>
    <xf numFmtId="0" fontId="49" fillId="7" borderId="6" xfId="0" applyFont="1" applyFill="1" applyBorder="1" applyAlignment="1">
      <alignment horizontal="center"/>
    </xf>
    <xf numFmtId="0" fontId="11" fillId="19" borderId="3" xfId="0" applyFont="1" applyFill="1" applyBorder="1"/>
    <xf numFmtId="0" fontId="0" fillId="19" borderId="3" xfId="0" applyFill="1" applyBorder="1" applyAlignment="1">
      <alignment horizontal="right"/>
    </xf>
    <xf numFmtId="0" fontId="41" fillId="19" borderId="3" xfId="3" applyFill="1" applyBorder="1" applyAlignment="1">
      <alignment horizontal="center"/>
    </xf>
    <xf numFmtId="0" fontId="0" fillId="19" borderId="3" xfId="0" applyFill="1" applyBorder="1"/>
    <xf numFmtId="0" fontId="0" fillId="19" borderId="57" xfId="0" applyFill="1" applyBorder="1"/>
    <xf numFmtId="0" fontId="47" fillId="19" borderId="7" xfId="0" applyFont="1" applyFill="1" applyBorder="1"/>
    <xf numFmtId="0" fontId="47" fillId="19" borderId="7" xfId="0" applyFont="1" applyFill="1" applyBorder="1" applyAlignment="1">
      <alignment horizontal="center"/>
    </xf>
    <xf numFmtId="0" fontId="47" fillId="19" borderId="6" xfId="0" applyFont="1" applyFill="1" applyBorder="1" applyAlignment="1">
      <alignment vertical="center"/>
    </xf>
    <xf numFmtId="0" fontId="0" fillId="19" borderId="4" xfId="0" applyFill="1" applyBorder="1"/>
    <xf numFmtId="0" fontId="5" fillId="19" borderId="4" xfId="0" applyFont="1" applyFill="1" applyBorder="1"/>
    <xf numFmtId="0" fontId="54" fillId="19" borderId="4" xfId="0" applyFont="1" applyFill="1" applyBorder="1" applyAlignment="1">
      <alignment horizontal="center"/>
    </xf>
    <xf numFmtId="0" fontId="0" fillId="19" borderId="7" xfId="0" applyFill="1" applyBorder="1" applyAlignment="1">
      <alignment horizontal="center"/>
    </xf>
    <xf numFmtId="0" fontId="0" fillId="19" borderId="6" xfId="0" applyFill="1" applyBorder="1"/>
    <xf numFmtId="0" fontId="6" fillId="19" borderId="4" xfId="0" applyFont="1" applyFill="1" applyBorder="1"/>
    <xf numFmtId="0" fontId="0" fillId="19" borderId="4" xfId="0" quotePrefix="1" applyFill="1" applyBorder="1"/>
    <xf numFmtId="0" fontId="0" fillId="19" borderId="6" xfId="0" applyFill="1" applyBorder="1" applyAlignment="1">
      <alignment horizontal="center"/>
    </xf>
    <xf numFmtId="0" fontId="0" fillId="19" borderId="6" xfId="0" applyFill="1" applyBorder="1" applyAlignment="1">
      <alignment horizontal="center" vertical="center"/>
    </xf>
    <xf numFmtId="0" fontId="48" fillId="13" borderId="4" xfId="0" quotePrefix="1" applyFont="1" applyFill="1" applyBorder="1" applyAlignment="1">
      <alignment horizontal="center"/>
    </xf>
    <xf numFmtId="0" fontId="50" fillId="13" borderId="4" xfId="0" quotePrefix="1" applyFont="1" applyFill="1" applyBorder="1" applyAlignment="1">
      <alignment horizontal="center"/>
    </xf>
    <xf numFmtId="0" fontId="49" fillId="13" borderId="4" xfId="0" applyFont="1" applyFill="1" applyBorder="1" applyAlignment="1">
      <alignment horizontal="center"/>
    </xf>
    <xf numFmtId="0" fontId="48" fillId="13" borderId="4" xfId="0" applyFont="1" applyFill="1" applyBorder="1" applyAlignment="1">
      <alignment horizontal="center"/>
    </xf>
    <xf numFmtId="0" fontId="47" fillId="4" borderId="40" xfId="0" applyFont="1" applyFill="1" applyBorder="1" applyAlignment="1">
      <alignment horizontal="center"/>
    </xf>
    <xf numFmtId="0" fontId="47" fillId="4" borderId="0" xfId="0" applyFont="1" applyFill="1" applyAlignment="1">
      <alignment horizontal="center"/>
    </xf>
    <xf numFmtId="0" fontId="49" fillId="13" borderId="6" xfId="0" applyFont="1" applyFill="1" applyBorder="1" applyAlignment="1">
      <alignment horizontal="center"/>
    </xf>
    <xf numFmtId="0" fontId="48" fillId="7" borderId="6" xfId="0" applyFont="1" applyFill="1" applyBorder="1" applyAlignment="1">
      <alignment horizontal="center"/>
    </xf>
    <xf numFmtId="0" fontId="48" fillId="7" borderId="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1" fillId="2" borderId="0" xfId="3" applyFill="1" applyAlignment="1">
      <alignment horizontal="center"/>
    </xf>
    <xf numFmtId="0" fontId="0" fillId="0" borderId="0" xfId="0" quotePrefix="1" applyAlignment="1">
      <alignment horizontal="left" vertical="center"/>
    </xf>
    <xf numFmtId="0" fontId="8" fillId="0" borderId="0" xfId="0" applyFont="1"/>
    <xf numFmtId="0" fontId="11" fillId="0" borderId="0" xfId="0" applyFont="1"/>
    <xf numFmtId="0" fontId="1" fillId="0" borderId="40" xfId="0" applyFont="1" applyBorder="1"/>
    <xf numFmtId="0" fontId="48" fillId="7" borderId="3" xfId="0" applyFont="1" applyFill="1" applyBorder="1" applyAlignment="1">
      <alignment horizontal="center"/>
    </xf>
    <xf numFmtId="0" fontId="41" fillId="0" borderId="0" xfId="3" applyBorder="1" applyAlignment="1">
      <alignment horizontal="center"/>
    </xf>
    <xf numFmtId="0" fontId="7" fillId="7" borderId="40" xfId="0" quotePrefix="1" applyFont="1" applyFill="1" applyBorder="1" applyAlignment="1">
      <alignment horizontal="center"/>
    </xf>
    <xf numFmtId="0" fontId="55" fillId="7" borderId="57" xfId="0" quotePrefix="1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51" fillId="0" borderId="0" xfId="0" applyFont="1"/>
    <xf numFmtId="0" fontId="7" fillId="0" borderId="0" xfId="0" applyFont="1"/>
    <xf numFmtId="165" fontId="0" fillId="0" borderId="0" xfId="0" quotePrefix="1" applyNumberFormat="1" applyAlignment="1">
      <alignment horizontal="center"/>
    </xf>
    <xf numFmtId="0" fontId="47" fillId="4" borderId="7" xfId="0" applyFont="1" applyFill="1" applyBorder="1" applyAlignment="1">
      <alignment horizontal="center"/>
    </xf>
    <xf numFmtId="0" fontId="48" fillId="7" borderId="4" xfId="0" quotePrefix="1" applyFont="1" applyFill="1" applyBorder="1" applyAlignment="1">
      <alignment horizontal="center"/>
    </xf>
    <xf numFmtId="0" fontId="41" fillId="13" borderId="0" xfId="3" applyFill="1" applyBorder="1" applyAlignment="1">
      <alignment horizontal="left"/>
    </xf>
    <xf numFmtId="0" fontId="41" fillId="17" borderId="0" xfId="3" applyFill="1" applyAlignment="1">
      <alignment horizontal="left"/>
    </xf>
    <xf numFmtId="0" fontId="41" fillId="2" borderId="0" xfId="3" applyFill="1" applyAlignment="1">
      <alignment horizontal="left"/>
    </xf>
    <xf numFmtId="0" fontId="25" fillId="19" borderId="0" xfId="0" applyFont="1" applyFill="1"/>
    <xf numFmtId="0" fontId="0" fillId="19" borderId="0" xfId="0" applyFill="1"/>
    <xf numFmtId="0" fontId="0" fillId="0" borderId="45" xfId="0" applyBorder="1"/>
    <xf numFmtId="0" fontId="0" fillId="0" borderId="46" xfId="0" applyBorder="1" applyAlignment="1">
      <alignment horizontal="center" vertical="center"/>
    </xf>
    <xf numFmtId="0" fontId="0" fillId="0" borderId="46" xfId="0" quotePrefix="1" applyBorder="1" applyAlignment="1">
      <alignment horizontal="center" vertical="center"/>
    </xf>
    <xf numFmtId="0" fontId="0" fillId="0" borderId="47" xfId="0" quotePrefix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56" fillId="0" borderId="45" xfId="0" applyFont="1" applyBorder="1"/>
    <xf numFmtId="0" fontId="0" fillId="0" borderId="3" xfId="0" applyBorder="1" applyAlignment="1">
      <alignment horizontal="center"/>
    </xf>
    <xf numFmtId="0" fontId="0" fillId="0" borderId="46" xfId="0" applyBorder="1"/>
    <xf numFmtId="0" fontId="0" fillId="0" borderId="47" xfId="0" applyBorder="1"/>
    <xf numFmtId="0" fontId="0" fillId="0" borderId="50" xfId="0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48" xfId="0" applyBorder="1"/>
    <xf numFmtId="0" fontId="0" fillId="0" borderId="3" xfId="0" applyBorder="1"/>
    <xf numFmtId="0" fontId="0" fillId="0" borderId="31" xfId="0" applyBorder="1"/>
    <xf numFmtId="0" fontId="1" fillId="0" borderId="46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0" xfId="0" quotePrefix="1" applyBorder="1"/>
    <xf numFmtId="0" fontId="3" fillId="2" borderId="0" xfId="0" applyFont="1" applyFill="1" applyAlignment="1">
      <alignment horizontal="center"/>
    </xf>
    <xf numFmtId="0" fontId="0" fillId="0" borderId="63" xfId="0" applyBorder="1"/>
    <xf numFmtId="0" fontId="0" fillId="0" borderId="32" xfId="0" applyBorder="1"/>
    <xf numFmtId="0" fontId="0" fillId="0" borderId="33" xfId="0" quotePrefix="1" applyBorder="1" applyAlignment="1">
      <alignment horizontal="center"/>
    </xf>
    <xf numFmtId="0" fontId="13" fillId="0" borderId="63" xfId="0" applyFont="1" applyBorder="1"/>
    <xf numFmtId="0" fontId="14" fillId="0" borderId="32" xfId="0" applyFont="1" applyBorder="1"/>
    <xf numFmtId="0" fontId="12" fillId="0" borderId="32" xfId="0" applyFont="1" applyBorder="1"/>
    <xf numFmtId="0" fontId="0" fillId="0" borderId="6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20" borderId="50" xfId="0" quotePrefix="1" applyFill="1" applyBorder="1" applyAlignment="1">
      <alignment horizontal="center"/>
    </xf>
    <xf numFmtId="0" fontId="0" fillId="20" borderId="48" xfId="0" quotePrefix="1" applyFill="1" applyBorder="1" applyAlignment="1">
      <alignment horizontal="center"/>
    </xf>
    <xf numFmtId="0" fontId="0" fillId="20" borderId="32" xfId="0" quotePrefix="1" applyFill="1" applyBorder="1" applyAlignment="1">
      <alignment horizontal="center"/>
    </xf>
    <xf numFmtId="0" fontId="0" fillId="20" borderId="30" xfId="0" quotePrefix="1" applyFill="1" applyBorder="1" applyAlignment="1">
      <alignment horizontal="center"/>
    </xf>
    <xf numFmtId="0" fontId="0" fillId="20" borderId="32" xfId="0" quotePrefix="1" applyFill="1" applyBorder="1"/>
    <xf numFmtId="0" fontId="0" fillId="20" borderId="30" xfId="0" quotePrefix="1" applyFill="1" applyBorder="1"/>
    <xf numFmtId="0" fontId="0" fillId="20" borderId="63" xfId="0" quotePrefix="1" applyFill="1" applyBorder="1" applyAlignment="1">
      <alignment horizontal="center"/>
    </xf>
    <xf numFmtId="0" fontId="0" fillId="20" borderId="50" xfId="0" quotePrefix="1" applyFill="1" applyBorder="1"/>
    <xf numFmtId="0" fontId="0" fillId="20" borderId="0" xfId="0" quotePrefix="1" applyFill="1" applyAlignment="1">
      <alignment horizontal="center"/>
    </xf>
    <xf numFmtId="0" fontId="0" fillId="20" borderId="33" xfId="0" quotePrefix="1" applyFill="1" applyBorder="1" applyAlignment="1">
      <alignment horizontal="center"/>
    </xf>
    <xf numFmtId="0" fontId="0" fillId="20" borderId="48" xfId="0" quotePrefix="1" applyFill="1" applyBorder="1"/>
    <xf numFmtId="0" fontId="0" fillId="20" borderId="3" xfId="0" quotePrefix="1" applyFill="1" applyBorder="1" applyAlignment="1">
      <alignment horizontal="center"/>
    </xf>
    <xf numFmtId="0" fontId="0" fillId="20" borderId="31" xfId="0" quotePrefix="1" applyFill="1" applyBorder="1" applyAlignment="1">
      <alignment horizontal="center"/>
    </xf>
    <xf numFmtId="0" fontId="0" fillId="20" borderId="48" xfId="0" quotePrefix="1" applyFill="1" applyBorder="1" applyAlignment="1">
      <alignment horizontal="left"/>
    </xf>
    <xf numFmtId="0" fontId="0" fillId="20" borderId="45" xfId="0" quotePrefix="1" applyFill="1" applyBorder="1"/>
    <xf numFmtId="0" fontId="0" fillId="20" borderId="46" xfId="0" quotePrefix="1" applyFill="1" applyBorder="1" applyAlignment="1">
      <alignment horizontal="center"/>
    </xf>
    <xf numFmtId="0" fontId="0" fillId="20" borderId="47" xfId="0" quotePrefix="1" applyFill="1" applyBorder="1" applyAlignment="1">
      <alignment horizontal="center"/>
    </xf>
    <xf numFmtId="0" fontId="59" fillId="19" borderId="4" xfId="0" applyFont="1" applyFill="1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20" borderId="32" xfId="0" quotePrefix="1" applyFill="1" applyBorder="1" applyAlignment="1">
      <alignment horizontal="center" vertical="center"/>
    </xf>
    <xf numFmtId="0" fontId="0" fillId="20" borderId="30" xfId="0" quotePrefix="1" applyFill="1" applyBorder="1" applyAlignment="1">
      <alignment horizontal="center" vertical="center"/>
    </xf>
    <xf numFmtId="0" fontId="0" fillId="20" borderId="48" xfId="0" applyFill="1" applyBorder="1"/>
    <xf numFmtId="0" fontId="0" fillId="20" borderId="33" xfId="0" applyFill="1" applyBorder="1" applyAlignment="1">
      <alignment horizontal="center" vertical="center"/>
    </xf>
    <xf numFmtId="0" fontId="0" fillId="20" borderId="31" xfId="0" applyFill="1" applyBorder="1" applyAlignment="1">
      <alignment horizontal="center" vertical="center"/>
    </xf>
    <xf numFmtId="0" fontId="0" fillId="20" borderId="33" xfId="0" quotePrefix="1" applyFill="1" applyBorder="1" applyAlignment="1">
      <alignment horizontal="center" vertical="center"/>
    </xf>
    <xf numFmtId="0" fontId="0" fillId="20" borderId="31" xfId="0" quotePrefix="1" applyFill="1" applyBorder="1" applyAlignment="1">
      <alignment horizontal="center" vertical="center"/>
    </xf>
    <xf numFmtId="2" fontId="0" fillId="0" borderId="33" xfId="0" quotePrefix="1" applyNumberFormat="1" applyBorder="1" applyAlignment="1">
      <alignment horizontal="center" vertical="center"/>
    </xf>
    <xf numFmtId="2" fontId="0" fillId="20" borderId="31" xfId="0" quotePrefix="1" applyNumberFormat="1" applyFill="1" applyBorder="1" applyAlignment="1">
      <alignment horizontal="center" vertical="center"/>
    </xf>
    <xf numFmtId="0" fontId="0" fillId="20" borderId="3" xfId="0" quotePrefix="1" applyFill="1" applyBorder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2" fontId="0" fillId="0" borderId="0" xfId="0" quotePrefix="1" applyNumberFormat="1" applyAlignment="1">
      <alignment horizontal="center" vertical="center"/>
    </xf>
    <xf numFmtId="0" fontId="0" fillId="0" borderId="45" xfId="0" quotePrefix="1" applyBorder="1"/>
    <xf numFmtId="0" fontId="0" fillId="20" borderId="33" xfId="0" applyFill="1" applyBorder="1" applyAlignment="1">
      <alignment horizontal="center"/>
    </xf>
    <xf numFmtId="0" fontId="0" fillId="20" borderId="31" xfId="0" applyFill="1" applyBorder="1" applyAlignment="1">
      <alignment horizontal="center"/>
    </xf>
    <xf numFmtId="0" fontId="0" fillId="20" borderId="19" xfId="0" quotePrefix="1" applyFill="1" applyBorder="1"/>
    <xf numFmtId="0" fontId="0" fillId="20" borderId="1" xfId="0" quotePrefix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0" fillId="20" borderId="16" xfId="0" quotePrefix="1" applyFill="1" applyBorder="1"/>
    <xf numFmtId="0" fontId="0" fillId="20" borderId="17" xfId="0" applyFill="1" applyBorder="1" applyAlignment="1">
      <alignment horizontal="center"/>
    </xf>
    <xf numFmtId="0" fontId="0" fillId="20" borderId="18" xfId="0" applyFill="1" applyBorder="1" applyAlignment="1">
      <alignment horizontal="center"/>
    </xf>
    <xf numFmtId="0" fontId="0" fillId="0" borderId="13" xfId="0" quotePrefix="1" applyBorder="1"/>
    <xf numFmtId="0" fontId="0" fillId="0" borderId="32" xfId="0" applyBorder="1" applyAlignment="1">
      <alignment horizontal="left"/>
    </xf>
    <xf numFmtId="0" fontId="0" fillId="20" borderId="32" xfId="0" applyFill="1" applyBorder="1"/>
    <xf numFmtId="0" fontId="0" fillId="0" borderId="63" xfId="0" quotePrefix="1" applyBorder="1"/>
    <xf numFmtId="0" fontId="0" fillId="0" borderId="63" xfId="0" quotePrefix="1" applyBorder="1" applyAlignment="1">
      <alignment horizontal="center"/>
    </xf>
    <xf numFmtId="13" fontId="0" fillId="0" borderId="32" xfId="0" quotePrefix="1" applyNumberFormat="1" applyBorder="1" applyAlignment="1">
      <alignment horizontal="center"/>
    </xf>
    <xf numFmtId="0" fontId="0" fillId="20" borderId="30" xfId="0" applyFill="1" applyBorder="1"/>
    <xf numFmtId="0" fontId="0" fillId="20" borderId="0" xfId="0" quotePrefix="1" applyFill="1"/>
    <xf numFmtId="0" fontId="0" fillId="20" borderId="3" xfId="0" quotePrefix="1" applyFill="1" applyBorder="1"/>
    <xf numFmtId="0" fontId="0" fillId="0" borderId="46" xfId="0" applyBorder="1" applyAlignment="1">
      <alignment horizontal="center"/>
    </xf>
    <xf numFmtId="0" fontId="0" fillId="20" borderId="0" xfId="0" applyFill="1" applyAlignment="1">
      <alignment horizontal="center"/>
    </xf>
    <xf numFmtId="0" fontId="0" fillId="20" borderId="3" xfId="0" applyFill="1" applyBorder="1" applyAlignment="1">
      <alignment horizontal="center"/>
    </xf>
    <xf numFmtId="0" fontId="4" fillId="0" borderId="33" xfId="0" applyFont="1" applyBorder="1"/>
    <xf numFmtId="0" fontId="4" fillId="20" borderId="33" xfId="0" applyFont="1" applyFill="1" applyBorder="1"/>
    <xf numFmtId="0" fontId="4" fillId="20" borderId="31" xfId="0" applyFont="1" applyFill="1" applyBorder="1"/>
    <xf numFmtId="0" fontId="1" fillId="3" borderId="16" xfId="0" applyFont="1" applyFill="1" applyBorder="1"/>
    <xf numFmtId="0" fontId="7" fillId="7" borderId="3" xfId="0" applyFont="1" applyFill="1" applyBorder="1" applyAlignment="1">
      <alignment horizontal="left"/>
    </xf>
    <xf numFmtId="0" fontId="0" fillId="0" borderId="47" xfId="0" quotePrefix="1" applyBorder="1" applyAlignment="1">
      <alignment horizontal="center"/>
    </xf>
    <xf numFmtId="0" fontId="0" fillId="0" borderId="31" xfId="0" quotePrefix="1" applyBorder="1" applyAlignment="1">
      <alignment horizontal="center"/>
    </xf>
    <xf numFmtId="0" fontId="46" fillId="0" borderId="0" xfId="0" applyFont="1"/>
    <xf numFmtId="0" fontId="63" fillId="0" borderId="0" xfId="0" applyFont="1"/>
    <xf numFmtId="0" fontId="41" fillId="0" borderId="1" xfId="3" applyFill="1" applyBorder="1" applyAlignment="1">
      <alignment horizontal="center" vertical="center"/>
    </xf>
    <xf numFmtId="0" fontId="41" fillId="0" borderId="1" xfId="3" applyBorder="1" applyAlignment="1">
      <alignment horizontal="center" vertical="center"/>
    </xf>
    <xf numFmtId="0" fontId="0" fillId="20" borderId="19" xfId="0" applyFill="1" applyBorder="1"/>
    <xf numFmtId="0" fontId="41" fillId="20" borderId="1" xfId="3" applyFill="1" applyBorder="1"/>
    <xf numFmtId="0" fontId="0" fillId="20" borderId="20" xfId="0" applyFill="1" applyBorder="1"/>
    <xf numFmtId="0" fontId="0" fillId="20" borderId="19" xfId="0" applyFill="1" applyBorder="1" applyAlignment="1">
      <alignment horizontal="left"/>
    </xf>
    <xf numFmtId="0" fontId="41" fillId="20" borderId="1" xfId="3" quotePrefix="1" applyFill="1" applyBorder="1"/>
    <xf numFmtId="0" fontId="41" fillId="20" borderId="1" xfId="3" quotePrefix="1" applyFill="1" applyBorder="1" applyAlignment="1">
      <alignment horizontal="left" vertical="center"/>
    </xf>
    <xf numFmtId="0" fontId="0" fillId="20" borderId="21" xfId="0" applyFill="1" applyBorder="1"/>
    <xf numFmtId="0" fontId="41" fillId="20" borderId="9" xfId="3" applyFill="1" applyBorder="1"/>
    <xf numFmtId="0" fontId="0" fillId="20" borderId="22" xfId="0" applyFill="1" applyBorder="1"/>
    <xf numFmtId="0" fontId="0" fillId="20" borderId="16" xfId="0" applyFill="1" applyBorder="1"/>
    <xf numFmtId="0" fontId="41" fillId="20" borderId="17" xfId="3" applyFill="1" applyBorder="1"/>
    <xf numFmtId="0" fontId="0" fillId="20" borderId="18" xfId="0" applyFill="1" applyBorder="1"/>
    <xf numFmtId="0" fontId="0" fillId="20" borderId="14" xfId="0" applyFill="1" applyBorder="1" applyAlignment="1">
      <alignment horizontal="center" vertical="center"/>
    </xf>
    <xf numFmtId="0" fontId="0" fillId="20" borderId="15" xfId="0" applyFill="1" applyBorder="1"/>
    <xf numFmtId="0" fontId="65" fillId="2" borderId="0" xfId="0" applyFont="1" applyFill="1"/>
    <xf numFmtId="0" fontId="66" fillId="2" borderId="0" xfId="3" applyFont="1" applyFill="1"/>
    <xf numFmtId="0" fontId="65" fillId="17" borderId="0" xfId="0" applyFont="1" applyFill="1"/>
    <xf numFmtId="0" fontId="65" fillId="19" borderId="0" xfId="0" applyFont="1" applyFill="1"/>
    <xf numFmtId="0" fontId="65" fillId="6" borderId="0" xfId="0" applyFont="1" applyFill="1"/>
    <xf numFmtId="0" fontId="66" fillId="6" borderId="0" xfId="3" applyFont="1" applyFill="1" applyBorder="1"/>
    <xf numFmtId="0" fontId="67" fillId="6" borderId="0" xfId="0" applyFont="1" applyFill="1"/>
    <xf numFmtId="0" fontId="65" fillId="7" borderId="0" xfId="0" applyFont="1" applyFill="1"/>
    <xf numFmtId="0" fontId="66" fillId="7" borderId="0" xfId="3" applyFont="1" applyFill="1" applyBorder="1"/>
    <xf numFmtId="0" fontId="68" fillId="7" borderId="0" xfId="0" applyFont="1" applyFill="1"/>
    <xf numFmtId="0" fontId="65" fillId="13" borderId="0" xfId="0" applyFont="1" applyFill="1"/>
    <xf numFmtId="0" fontId="65" fillId="13" borderId="0" xfId="0" applyFont="1" applyFill="1" applyAlignment="1">
      <alignment horizontal="center"/>
    </xf>
    <xf numFmtId="1" fontId="0" fillId="4" borderId="17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left"/>
    </xf>
    <xf numFmtId="0" fontId="5" fillId="21" borderId="0" xfId="0" applyFont="1" applyFill="1"/>
    <xf numFmtId="0" fontId="11" fillId="21" borderId="0" xfId="0" applyFont="1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16" xfId="0" applyBorder="1" applyAlignment="1">
      <alignment horizontal="right"/>
    </xf>
    <xf numFmtId="165" fontId="0" fillId="4" borderId="5" xfId="0" applyNumberFormat="1" applyFill="1" applyBorder="1" applyAlignment="1">
      <alignment horizontal="center"/>
    </xf>
    <xf numFmtId="0" fontId="0" fillId="20" borderId="33" xfId="0" quotePrefix="1" applyFill="1" applyBorder="1"/>
    <xf numFmtId="0" fontId="0" fillId="20" borderId="31" xfId="0" quotePrefix="1" applyFill="1" applyBorder="1"/>
    <xf numFmtId="0" fontId="5" fillId="6" borderId="7" xfId="0" applyFont="1" applyFill="1" applyBorder="1"/>
    <xf numFmtId="0" fontId="5" fillId="6" borderId="7" xfId="0" applyFont="1" applyFill="1" applyBorder="1" applyAlignment="1">
      <alignment horizontal="center"/>
    </xf>
    <xf numFmtId="0" fontId="69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vertical="center"/>
    </xf>
    <xf numFmtId="0" fontId="1" fillId="6" borderId="4" xfId="0" applyFont="1" applyFill="1" applyBorder="1"/>
    <xf numFmtId="165" fontId="0" fillId="0" borderId="41" xfId="0" quotePrefix="1" applyNumberFormat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42" fillId="16" borderId="10" xfId="2" applyFont="1" applyFill="1" applyBorder="1" applyAlignment="1">
      <alignment horizontal="center" wrapText="1"/>
    </xf>
    <xf numFmtId="0" fontId="42" fillId="16" borderId="4" xfId="2" applyFont="1" applyFill="1" applyBorder="1" applyAlignment="1">
      <alignment horizontal="center" wrapText="1"/>
    </xf>
    <xf numFmtId="0" fontId="43" fillId="16" borderId="4" xfId="2" applyFont="1" applyFill="1" applyBorder="1" applyAlignment="1">
      <alignment horizontal="center" wrapText="1"/>
    </xf>
    <xf numFmtId="0" fontId="43" fillId="16" borderId="29" xfId="2" applyFont="1" applyFill="1" applyBorder="1" applyAlignment="1">
      <alignment horizontal="center" wrapText="1"/>
    </xf>
    <xf numFmtId="0" fontId="8" fillId="7" borderId="57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7" fillId="7" borderId="6" xfId="0" quotePrefix="1" applyFont="1" applyFill="1" applyBorder="1" applyAlignment="1">
      <alignment horizontal="center"/>
    </xf>
    <xf numFmtId="0" fontId="7" fillId="7" borderId="4" xfId="0" quotePrefix="1" applyFont="1" applyFill="1" applyBorder="1" applyAlignment="1">
      <alignment horizontal="center"/>
    </xf>
    <xf numFmtId="0" fontId="7" fillId="7" borderId="8" xfId="0" quotePrefix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7" fillId="13" borderId="3" xfId="0" quotePrefix="1" applyFont="1" applyFill="1" applyBorder="1" applyAlignment="1">
      <alignment horizontal="center"/>
    </xf>
    <xf numFmtId="0" fontId="7" fillId="13" borderId="12" xfId="0" quotePrefix="1" applyFont="1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11" borderId="0" xfId="0" applyFont="1" applyFill="1" applyAlignment="1">
      <alignment horizontal="left"/>
    </xf>
    <xf numFmtId="0" fontId="32" fillId="15" borderId="21" xfId="0" applyFont="1" applyFill="1" applyBorder="1" applyAlignment="1">
      <alignment horizontal="left" vertical="center" wrapText="1"/>
    </xf>
    <xf numFmtId="0" fontId="32" fillId="15" borderId="54" xfId="0" applyFont="1" applyFill="1" applyBorder="1" applyAlignment="1">
      <alignment horizontal="left" vertical="center" wrapText="1"/>
    </xf>
    <xf numFmtId="0" fontId="32" fillId="15" borderId="55" xfId="0" applyFont="1" applyFill="1" applyBorder="1" applyAlignment="1">
      <alignment horizontal="left" vertical="center" wrapText="1"/>
    </xf>
    <xf numFmtId="0" fontId="32" fillId="15" borderId="9" xfId="0" applyFont="1" applyFill="1" applyBorder="1" applyAlignment="1">
      <alignment horizontal="left" vertical="center" wrapText="1"/>
    </xf>
    <xf numFmtId="0" fontId="32" fillId="15" borderId="43" xfId="0" applyFont="1" applyFill="1" applyBorder="1" applyAlignment="1">
      <alignment horizontal="left" vertical="center" wrapText="1"/>
    </xf>
    <xf numFmtId="0" fontId="32" fillId="15" borderId="5" xfId="0" applyFont="1" applyFill="1" applyBorder="1" applyAlignment="1">
      <alignment horizontal="left" vertical="center" wrapText="1"/>
    </xf>
    <xf numFmtId="0" fontId="32" fillId="15" borderId="35" xfId="0" applyFont="1" applyFill="1" applyBorder="1" applyAlignment="1">
      <alignment horizontal="left" vertical="center" wrapText="1"/>
    </xf>
    <xf numFmtId="0" fontId="32" fillId="15" borderId="36" xfId="0" applyFont="1" applyFill="1" applyBorder="1" applyAlignment="1">
      <alignment horizontal="left" vertical="center" wrapText="1"/>
    </xf>
    <xf numFmtId="0" fontId="32" fillId="15" borderId="52" xfId="0" applyFont="1" applyFill="1" applyBorder="1" applyAlignment="1">
      <alignment horizontal="left" vertical="center" wrapText="1"/>
    </xf>
    <xf numFmtId="0" fontId="32" fillId="15" borderId="53" xfId="0" applyFont="1" applyFill="1" applyBorder="1" applyAlignment="1">
      <alignment horizontal="left" vertical="center" wrapText="1"/>
    </xf>
    <xf numFmtId="0" fontId="32" fillId="15" borderId="51" xfId="0" applyFont="1" applyFill="1" applyBorder="1" applyAlignment="1">
      <alignment horizontal="left" vertical="center" wrapText="1"/>
    </xf>
    <xf numFmtId="0" fontId="32" fillId="15" borderId="56" xfId="0" applyFont="1" applyFill="1" applyBorder="1" applyAlignment="1">
      <alignment horizontal="left" vertical="center" wrapText="1"/>
    </xf>
    <xf numFmtId="0" fontId="32" fillId="15" borderId="2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4">
    <cellStyle name="Excel Built-in Normal 1" xfId="1" xr:uid="{00000000-0005-0000-0000-000000000000}"/>
    <cellStyle name="Hyperlink" xfId="3" builtinId="8"/>
    <cellStyle name="Standaard" xfId="0" builtinId="0"/>
    <cellStyle name="Standaard 2" xfId="2" xr:uid="{00000000-0005-0000-0000-000003000000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6B6A2"/>
      <color rgb="FFEBC5AD"/>
      <color rgb="FFEBADC9"/>
      <color rgb="FFE3B5D6"/>
      <color rgb="FFF1D1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18" Type="http://schemas.openxmlformats.org/officeDocument/2006/relationships/image" Target="../media/image39.jpe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38.jpeg"/><Relationship Id="rId2" Type="http://schemas.openxmlformats.org/officeDocument/2006/relationships/image" Target="../media/image23.jpeg"/><Relationship Id="rId16" Type="http://schemas.openxmlformats.org/officeDocument/2006/relationships/image" Target="../media/image37.jpeg"/><Relationship Id="rId1" Type="http://schemas.openxmlformats.org/officeDocument/2006/relationships/image" Target="../media/image22.jpe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10" Type="http://schemas.openxmlformats.org/officeDocument/2006/relationships/image" Target="../media/image31.jpeg"/><Relationship Id="rId19" Type="http://schemas.openxmlformats.org/officeDocument/2006/relationships/image" Target="../media/image40.jp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142875</xdr:rowOff>
    </xdr:from>
    <xdr:to>
      <xdr:col>5</xdr:col>
      <xdr:colOff>710647</xdr:colOff>
      <xdr:row>51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439025"/>
          <a:ext cx="6492322" cy="28479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36</xdr:row>
      <xdr:rowOff>171449</xdr:rowOff>
    </xdr:from>
    <xdr:to>
      <xdr:col>8</xdr:col>
      <xdr:colOff>666086</xdr:colOff>
      <xdr:row>49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1" y="7086599"/>
          <a:ext cx="1780510" cy="2343151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57</xdr:row>
      <xdr:rowOff>12017</xdr:rowOff>
    </xdr:from>
    <xdr:to>
      <xdr:col>15</xdr:col>
      <xdr:colOff>381000</xdr:colOff>
      <xdr:row>75</xdr:row>
      <xdr:rowOff>21275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11318192"/>
          <a:ext cx="7924800" cy="3476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605686</xdr:colOff>
      <xdr:row>3</xdr:row>
      <xdr:rowOff>38100</xdr:rowOff>
    </xdr:from>
    <xdr:to>
      <xdr:col>12</xdr:col>
      <xdr:colOff>464820</xdr:colOff>
      <xdr:row>59</xdr:row>
      <xdr:rowOff>80010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2110458-5238-B120-3B73-428B676E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36" y="609600"/>
          <a:ext cx="7174334" cy="1070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598066</xdr:colOff>
      <xdr:row>44</xdr:row>
      <xdr:rowOff>0</xdr:rowOff>
    </xdr:from>
    <xdr:to>
      <xdr:col>12</xdr:col>
      <xdr:colOff>447675</xdr:colOff>
      <xdr:row>100</xdr:row>
      <xdr:rowOff>127635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BA74569-59B2-1F6C-296F-11B0EFE0B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41" y="11239500"/>
          <a:ext cx="7164809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3706</xdr:colOff>
      <xdr:row>93</xdr:row>
      <xdr:rowOff>0</xdr:rowOff>
    </xdr:from>
    <xdr:to>
      <xdr:col>12</xdr:col>
      <xdr:colOff>472440</xdr:colOff>
      <xdr:row>149</xdr:row>
      <xdr:rowOff>125730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5B64922-B5EF-3C67-D147-79EAAF485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256" y="22002750"/>
          <a:ext cx="7174334" cy="10793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598066</xdr:colOff>
      <xdr:row>142</xdr:row>
      <xdr:rowOff>0</xdr:rowOff>
    </xdr:from>
    <xdr:to>
      <xdr:col>12</xdr:col>
      <xdr:colOff>447675</xdr:colOff>
      <xdr:row>198</xdr:row>
      <xdr:rowOff>127635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BA0D7D5-095B-E3FD-5A4D-12BCC25B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41" y="32766000"/>
          <a:ext cx="7164809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22861</xdr:colOff>
      <xdr:row>191</xdr:row>
      <xdr:rowOff>7620</xdr:rowOff>
    </xdr:from>
    <xdr:to>
      <xdr:col>12</xdr:col>
      <xdr:colOff>472292</xdr:colOff>
      <xdr:row>221</xdr:row>
      <xdr:rowOff>182933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3300BEA-CE43-5960-E67D-7B66609CF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45770" y="42904511"/>
          <a:ext cx="5890313" cy="715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18946</xdr:colOff>
      <xdr:row>214</xdr:row>
      <xdr:rowOff>0</xdr:rowOff>
    </xdr:from>
    <xdr:to>
      <xdr:col>12</xdr:col>
      <xdr:colOff>487680</xdr:colOff>
      <xdr:row>270</xdr:row>
      <xdr:rowOff>127635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3512387-5E9B-0E71-78B3-9D47D980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496" y="49339500"/>
          <a:ext cx="7174334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39266</xdr:colOff>
      <xdr:row>263</xdr:row>
      <xdr:rowOff>0</xdr:rowOff>
    </xdr:from>
    <xdr:to>
      <xdr:col>12</xdr:col>
      <xdr:colOff>508000</xdr:colOff>
      <xdr:row>319</xdr:row>
      <xdr:rowOff>127635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BCFE85F-11FB-F514-8C4F-5008DD4B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16" y="60102750"/>
          <a:ext cx="7174334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39266</xdr:colOff>
      <xdr:row>312</xdr:row>
      <xdr:rowOff>0</xdr:rowOff>
    </xdr:from>
    <xdr:to>
      <xdr:col>12</xdr:col>
      <xdr:colOff>508000</xdr:colOff>
      <xdr:row>368</xdr:row>
      <xdr:rowOff>127635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269D77BA-6A8C-37AF-BA56-592A86A5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16" y="70866000"/>
          <a:ext cx="7174334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49426</xdr:colOff>
      <xdr:row>361</xdr:row>
      <xdr:rowOff>0</xdr:rowOff>
    </xdr:from>
    <xdr:to>
      <xdr:col>12</xdr:col>
      <xdr:colOff>518160</xdr:colOff>
      <xdr:row>417</xdr:row>
      <xdr:rowOff>127635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209C3F7-40DA-0473-B7CF-6A3E45CC3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976" y="81629250"/>
          <a:ext cx="7174334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54506</xdr:colOff>
      <xdr:row>410</xdr:row>
      <xdr:rowOff>0</xdr:rowOff>
    </xdr:from>
    <xdr:to>
      <xdr:col>12</xdr:col>
      <xdr:colOff>523240</xdr:colOff>
      <xdr:row>467</xdr:row>
      <xdr:rowOff>22860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407DADB-D23C-5439-1DB6-347CACBE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56" y="92392500"/>
          <a:ext cx="7174334" cy="1088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57046</xdr:colOff>
      <xdr:row>466</xdr:row>
      <xdr:rowOff>76200</xdr:rowOff>
    </xdr:from>
    <xdr:to>
      <xdr:col>12</xdr:col>
      <xdr:colOff>525780</xdr:colOff>
      <xdr:row>523</xdr:row>
      <xdr:rowOff>99060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ADC504E-7D54-0248-A05F-FDAB7E68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596" y="103136700"/>
          <a:ext cx="7174334" cy="1088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51966</xdr:colOff>
      <xdr:row>523</xdr:row>
      <xdr:rowOff>50800</xdr:rowOff>
    </xdr:from>
    <xdr:to>
      <xdr:col>12</xdr:col>
      <xdr:colOff>520700</xdr:colOff>
      <xdr:row>579</xdr:row>
      <xdr:rowOff>178435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9B9D8759-62D7-0BAC-CEBE-E5128F372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516" y="113969800"/>
          <a:ext cx="7174334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44346</xdr:colOff>
      <xdr:row>572</xdr:row>
      <xdr:rowOff>30480</xdr:rowOff>
    </xdr:from>
    <xdr:to>
      <xdr:col>12</xdr:col>
      <xdr:colOff>513080</xdr:colOff>
      <xdr:row>628</xdr:row>
      <xdr:rowOff>158115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44264D4-7141-4EB7-7D81-615E3A19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96" y="124712730"/>
          <a:ext cx="7174334" cy="10795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39266</xdr:colOff>
      <xdr:row>621</xdr:row>
      <xdr:rowOff>0</xdr:rowOff>
    </xdr:from>
    <xdr:to>
      <xdr:col>12</xdr:col>
      <xdr:colOff>508000</xdr:colOff>
      <xdr:row>677</xdr:row>
      <xdr:rowOff>125730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F0D3BFBF-90BA-979D-8284-5BA6A81C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16" y="135445500"/>
          <a:ext cx="7174334" cy="10793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41806</xdr:colOff>
      <xdr:row>670</xdr:row>
      <xdr:rowOff>0</xdr:rowOff>
    </xdr:from>
    <xdr:to>
      <xdr:col>12</xdr:col>
      <xdr:colOff>510540</xdr:colOff>
      <xdr:row>727</xdr:row>
      <xdr:rowOff>22860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78E827A5-AC6C-8365-C8BF-90C5E2BC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56" y="146208750"/>
          <a:ext cx="7174334" cy="1088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31646</xdr:colOff>
      <xdr:row>726</xdr:row>
      <xdr:rowOff>144780</xdr:rowOff>
    </xdr:from>
    <xdr:to>
      <xdr:col>12</xdr:col>
      <xdr:colOff>500380</xdr:colOff>
      <xdr:row>783</xdr:row>
      <xdr:rowOff>167640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9B3AD387-131A-8DD8-271F-B2C481D8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196" y="157021530"/>
          <a:ext cx="7174334" cy="1088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15242</xdr:colOff>
      <xdr:row>783</xdr:row>
      <xdr:rowOff>129539</xdr:rowOff>
    </xdr:from>
    <xdr:to>
      <xdr:col>12</xdr:col>
      <xdr:colOff>513683</xdr:colOff>
      <xdr:row>814</xdr:row>
      <xdr:rowOff>160071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32221BCF-B180-E43F-E3CB-55B3D2CA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39797" y="167230784"/>
          <a:ext cx="5936032" cy="7204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26566</xdr:colOff>
      <xdr:row>807</xdr:row>
      <xdr:rowOff>15240</xdr:rowOff>
    </xdr:from>
    <xdr:to>
      <xdr:col>12</xdr:col>
      <xdr:colOff>495300</xdr:colOff>
      <xdr:row>864</xdr:row>
      <xdr:rowOff>38100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8C1FA7CD-438A-3CAB-3204-70A724A9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116" y="173751240"/>
          <a:ext cx="7174334" cy="10881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584535</xdr:colOff>
      <xdr:row>7</xdr:row>
      <xdr:rowOff>58737</xdr:rowOff>
    </xdr:from>
    <xdr:to>
      <xdr:col>1</xdr:col>
      <xdr:colOff>1162993</xdr:colOff>
      <xdr:row>7</xdr:row>
      <xdr:rowOff>581618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725" y="4144634"/>
          <a:ext cx="578458" cy="522881"/>
        </a:xfrm>
        <a:prstGeom prst="rect">
          <a:avLst/>
        </a:prstGeom>
      </xdr:spPr>
    </xdr:pic>
    <xdr:clientData/>
  </xdr:twoCellAnchor>
  <xdr:twoCellAnchor editAs="oneCell">
    <xdr:from>
      <xdr:col>1</xdr:col>
      <xdr:colOff>538645</xdr:colOff>
      <xdr:row>5</xdr:row>
      <xdr:rowOff>603329</xdr:rowOff>
    </xdr:from>
    <xdr:to>
      <xdr:col>1</xdr:col>
      <xdr:colOff>1234109</xdr:colOff>
      <xdr:row>7</xdr:row>
      <xdr:rowOff>7221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406" y="3046699"/>
          <a:ext cx="695464" cy="662848"/>
        </a:xfrm>
        <a:prstGeom prst="rect">
          <a:avLst/>
        </a:prstGeom>
      </xdr:spPr>
    </xdr:pic>
    <xdr:clientData/>
  </xdr:twoCellAnchor>
  <xdr:twoCellAnchor editAs="oneCell">
    <xdr:from>
      <xdr:col>1</xdr:col>
      <xdr:colOff>562841</xdr:colOff>
      <xdr:row>2</xdr:row>
      <xdr:rowOff>1362</xdr:rowOff>
    </xdr:from>
    <xdr:to>
      <xdr:col>1</xdr:col>
      <xdr:colOff>1240557</xdr:colOff>
      <xdr:row>3</xdr:row>
      <xdr:rowOff>13608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377" y="559255"/>
          <a:ext cx="677716" cy="638174"/>
        </a:xfrm>
        <a:prstGeom prst="rect">
          <a:avLst/>
        </a:prstGeom>
      </xdr:spPr>
    </xdr:pic>
    <xdr:clientData/>
  </xdr:twoCellAnchor>
  <xdr:twoCellAnchor editAs="oneCell">
    <xdr:from>
      <xdr:col>1</xdr:col>
      <xdr:colOff>572987</xdr:colOff>
      <xdr:row>4</xdr:row>
      <xdr:rowOff>48986</xdr:rowOff>
    </xdr:from>
    <xdr:to>
      <xdr:col>1</xdr:col>
      <xdr:colOff>1217977</xdr:colOff>
      <xdr:row>4</xdr:row>
      <xdr:rowOff>621196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5748" y="1862877"/>
          <a:ext cx="644990" cy="572210"/>
        </a:xfrm>
        <a:prstGeom prst="rect">
          <a:avLst/>
        </a:prstGeom>
      </xdr:spPr>
    </xdr:pic>
    <xdr:clientData/>
  </xdr:twoCellAnchor>
  <xdr:twoCellAnchor editAs="oneCell">
    <xdr:from>
      <xdr:col>1</xdr:col>
      <xdr:colOff>549730</xdr:colOff>
      <xdr:row>3</xdr:row>
      <xdr:rowOff>1660</xdr:rowOff>
    </xdr:from>
    <xdr:to>
      <xdr:col>1</xdr:col>
      <xdr:colOff>1224644</xdr:colOff>
      <xdr:row>4</xdr:row>
      <xdr:rowOff>10280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4266" y="1185481"/>
          <a:ext cx="674914" cy="634549"/>
        </a:xfrm>
        <a:prstGeom prst="rect">
          <a:avLst/>
        </a:prstGeom>
      </xdr:spPr>
    </xdr:pic>
    <xdr:clientData/>
  </xdr:twoCellAnchor>
  <xdr:twoCellAnchor editAs="oneCell">
    <xdr:from>
      <xdr:col>1</xdr:col>
      <xdr:colOff>568265</xdr:colOff>
      <xdr:row>8</xdr:row>
      <xdr:rowOff>65247</xdr:rowOff>
    </xdr:from>
    <xdr:to>
      <xdr:col>1</xdr:col>
      <xdr:colOff>1134719</xdr:colOff>
      <xdr:row>8</xdr:row>
      <xdr:rowOff>572699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026" y="4397051"/>
          <a:ext cx="566454" cy="507452"/>
        </a:xfrm>
        <a:prstGeom prst="rect">
          <a:avLst/>
        </a:prstGeom>
      </xdr:spPr>
    </xdr:pic>
    <xdr:clientData/>
  </xdr:twoCellAnchor>
  <xdr:twoCellAnchor editAs="oneCell">
    <xdr:from>
      <xdr:col>1</xdr:col>
      <xdr:colOff>559078</xdr:colOff>
      <xdr:row>5</xdr:row>
      <xdr:rowOff>17395</xdr:rowOff>
    </xdr:from>
    <xdr:to>
      <xdr:col>1</xdr:col>
      <xdr:colOff>1191904</xdr:colOff>
      <xdr:row>5</xdr:row>
      <xdr:rowOff>579783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39" y="2460765"/>
          <a:ext cx="632826" cy="562388"/>
        </a:xfrm>
        <a:prstGeom prst="rect">
          <a:avLst/>
        </a:prstGeom>
      </xdr:spPr>
    </xdr:pic>
    <xdr:clientData/>
  </xdr:twoCellAnchor>
  <xdr:twoCellAnchor editAs="oneCell">
    <xdr:from>
      <xdr:col>1</xdr:col>
      <xdr:colOff>427622</xdr:colOff>
      <xdr:row>10</xdr:row>
      <xdr:rowOff>18675</xdr:rowOff>
    </xdr:from>
    <xdr:to>
      <xdr:col>1</xdr:col>
      <xdr:colOff>1379482</xdr:colOff>
      <xdr:row>10</xdr:row>
      <xdr:rowOff>624461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9812" y="5996434"/>
          <a:ext cx="951860" cy="605786"/>
        </a:xfrm>
        <a:prstGeom prst="rect">
          <a:avLst/>
        </a:prstGeom>
      </xdr:spPr>
    </xdr:pic>
    <xdr:clientData/>
  </xdr:twoCellAnchor>
  <xdr:twoCellAnchor editAs="oneCell">
    <xdr:from>
      <xdr:col>1</xdr:col>
      <xdr:colOff>569468</xdr:colOff>
      <xdr:row>9</xdr:row>
      <xdr:rowOff>10542</xdr:rowOff>
    </xdr:from>
    <xdr:to>
      <xdr:col>1</xdr:col>
      <xdr:colOff>1151283</xdr:colOff>
      <xdr:row>9</xdr:row>
      <xdr:rowOff>579274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2229" y="4971825"/>
          <a:ext cx="581815" cy="568732"/>
        </a:xfrm>
        <a:prstGeom prst="rect">
          <a:avLst/>
        </a:prstGeom>
      </xdr:spPr>
    </xdr:pic>
    <xdr:clientData/>
  </xdr:twoCellAnchor>
  <xdr:twoCellAnchor editAs="oneCell">
    <xdr:from>
      <xdr:col>3</xdr:col>
      <xdr:colOff>223345</xdr:colOff>
      <xdr:row>2</xdr:row>
      <xdr:rowOff>27252</xdr:rowOff>
    </xdr:from>
    <xdr:to>
      <xdr:col>3</xdr:col>
      <xdr:colOff>729154</xdr:colOff>
      <xdr:row>2</xdr:row>
      <xdr:rowOff>558237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4535" y="960045"/>
          <a:ext cx="505809" cy="530985"/>
        </a:xfrm>
        <a:prstGeom prst="rect">
          <a:avLst/>
        </a:prstGeom>
      </xdr:spPr>
    </xdr:pic>
    <xdr:clientData/>
  </xdr:twoCellAnchor>
  <xdr:twoCellAnchor editAs="oneCell">
    <xdr:from>
      <xdr:col>3</xdr:col>
      <xdr:colOff>269328</xdr:colOff>
      <xdr:row>3</xdr:row>
      <xdr:rowOff>80410</xdr:rowOff>
    </xdr:from>
    <xdr:to>
      <xdr:col>3</xdr:col>
      <xdr:colOff>748862</xdr:colOff>
      <xdr:row>3</xdr:row>
      <xdr:rowOff>572812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0518" y="1643824"/>
          <a:ext cx="479534" cy="492402"/>
        </a:xfrm>
        <a:prstGeom prst="rect">
          <a:avLst/>
        </a:prstGeom>
      </xdr:spPr>
    </xdr:pic>
    <xdr:clientData/>
  </xdr:twoCellAnchor>
  <xdr:twoCellAnchor editAs="oneCell">
    <xdr:from>
      <xdr:col>3</xdr:col>
      <xdr:colOff>183933</xdr:colOff>
      <xdr:row>4</xdr:row>
      <xdr:rowOff>5288</xdr:rowOff>
    </xdr:from>
    <xdr:to>
      <xdr:col>3</xdr:col>
      <xdr:colOff>814553</xdr:colOff>
      <xdr:row>4</xdr:row>
      <xdr:rowOff>623067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5123" y="2199322"/>
          <a:ext cx="630620" cy="617779"/>
        </a:xfrm>
        <a:prstGeom prst="rect">
          <a:avLst/>
        </a:prstGeom>
      </xdr:spPr>
    </xdr:pic>
    <xdr:clientData/>
  </xdr:twoCellAnchor>
  <xdr:twoCellAnchor editAs="oneCell">
    <xdr:from>
      <xdr:col>3</xdr:col>
      <xdr:colOff>229915</xdr:colOff>
      <xdr:row>5</xdr:row>
      <xdr:rowOff>9653</xdr:rowOff>
    </xdr:from>
    <xdr:to>
      <xdr:col>3</xdr:col>
      <xdr:colOff>771315</xdr:colOff>
      <xdr:row>5</xdr:row>
      <xdr:rowOff>604345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105" y="2834308"/>
          <a:ext cx="541400" cy="594692"/>
        </a:xfrm>
        <a:prstGeom prst="rect">
          <a:avLst/>
        </a:prstGeom>
      </xdr:spPr>
    </xdr:pic>
    <xdr:clientData/>
  </xdr:twoCellAnchor>
  <xdr:twoCellAnchor editAs="oneCell">
    <xdr:from>
      <xdr:col>5</xdr:col>
      <xdr:colOff>65690</xdr:colOff>
      <xdr:row>2</xdr:row>
      <xdr:rowOff>36577</xdr:rowOff>
    </xdr:from>
    <xdr:to>
      <xdr:col>5</xdr:col>
      <xdr:colOff>630621</xdr:colOff>
      <xdr:row>2</xdr:row>
      <xdr:rowOff>589893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969370"/>
          <a:ext cx="564931" cy="553316"/>
        </a:xfrm>
        <a:prstGeom prst="rect">
          <a:avLst/>
        </a:prstGeom>
      </xdr:spPr>
    </xdr:pic>
    <xdr:clientData/>
  </xdr:twoCellAnchor>
  <xdr:twoCellAnchor editAs="oneCell">
    <xdr:from>
      <xdr:col>5</xdr:col>
      <xdr:colOff>939362</xdr:colOff>
      <xdr:row>2</xdr:row>
      <xdr:rowOff>18520</xdr:rowOff>
    </xdr:from>
    <xdr:to>
      <xdr:col>5</xdr:col>
      <xdr:colOff>1484587</xdr:colOff>
      <xdr:row>2</xdr:row>
      <xdr:rowOff>587265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6672" y="951313"/>
          <a:ext cx="545225" cy="568745"/>
        </a:xfrm>
        <a:prstGeom prst="rect">
          <a:avLst/>
        </a:prstGeom>
      </xdr:spPr>
    </xdr:pic>
    <xdr:clientData/>
  </xdr:twoCellAnchor>
  <xdr:twoCellAnchor editAs="oneCell">
    <xdr:from>
      <xdr:col>5</xdr:col>
      <xdr:colOff>525518</xdr:colOff>
      <xdr:row>3</xdr:row>
      <xdr:rowOff>48798</xdr:rowOff>
    </xdr:from>
    <xdr:to>
      <xdr:col>5</xdr:col>
      <xdr:colOff>1057604</xdr:colOff>
      <xdr:row>3</xdr:row>
      <xdr:rowOff>597775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2828" y="1612212"/>
          <a:ext cx="532086" cy="548977"/>
        </a:xfrm>
        <a:prstGeom prst="rect">
          <a:avLst/>
        </a:prstGeom>
      </xdr:spPr>
    </xdr:pic>
    <xdr:clientData/>
  </xdr:twoCellAnchor>
  <xdr:twoCellAnchor editAs="oneCell">
    <xdr:from>
      <xdr:col>3</xdr:col>
      <xdr:colOff>91965</xdr:colOff>
      <xdr:row>6</xdr:row>
      <xdr:rowOff>52551</xdr:rowOff>
    </xdr:from>
    <xdr:to>
      <xdr:col>3</xdr:col>
      <xdr:colOff>919420</xdr:colOff>
      <xdr:row>6</xdr:row>
      <xdr:rowOff>630292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3155" y="3507827"/>
          <a:ext cx="827455" cy="57774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7</xdr:row>
      <xdr:rowOff>41584</xdr:rowOff>
    </xdr:from>
    <xdr:to>
      <xdr:col>3</xdr:col>
      <xdr:colOff>847396</xdr:colOff>
      <xdr:row>7</xdr:row>
      <xdr:rowOff>582009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1690" y="4127481"/>
          <a:ext cx="656896" cy="540425"/>
        </a:xfrm>
        <a:prstGeom prst="rect">
          <a:avLst/>
        </a:prstGeom>
      </xdr:spPr>
    </xdr:pic>
    <xdr:clientData/>
  </xdr:twoCellAnchor>
  <xdr:twoCellAnchor editAs="oneCell">
    <xdr:from>
      <xdr:col>4</xdr:col>
      <xdr:colOff>197068</xdr:colOff>
      <xdr:row>7</xdr:row>
      <xdr:rowOff>61511</xdr:rowOff>
    </xdr:from>
    <xdr:to>
      <xdr:col>5</xdr:col>
      <xdr:colOff>1609397</xdr:colOff>
      <xdr:row>8</xdr:row>
      <xdr:rowOff>620111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878" y="4147408"/>
          <a:ext cx="3126829" cy="118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26"/>
  <sheetViews>
    <sheetView tabSelected="1" zoomScaleNormal="100" workbookViewId="0"/>
  </sheetViews>
  <sheetFormatPr defaultRowHeight="15" x14ac:dyDescent="0.25"/>
  <cols>
    <col min="1" max="1" width="36.85546875" customWidth="1"/>
    <col min="2" max="2" width="37" style="46" customWidth="1"/>
    <col min="3" max="3" width="16.42578125" customWidth="1"/>
    <col min="7" max="7" width="15" customWidth="1"/>
    <col min="8" max="10" width="9.140625" hidden="1" customWidth="1"/>
  </cols>
  <sheetData>
    <row r="1" spans="1:10" s="3" customFormat="1" ht="24" thickBot="1" x14ac:dyDescent="0.4">
      <c r="A1" s="2" t="s">
        <v>9</v>
      </c>
      <c r="B1" s="50"/>
      <c r="E1" s="7" t="s">
        <v>62</v>
      </c>
      <c r="F1" s="6"/>
      <c r="G1" s="10" t="s">
        <v>70</v>
      </c>
      <c r="H1" s="9"/>
    </row>
    <row r="2" spans="1:10" ht="29.25" customHeight="1" x14ac:dyDescent="0.35">
      <c r="A2" s="280" t="s">
        <v>10</v>
      </c>
      <c r="B2" s="281"/>
      <c r="C2" s="282" t="s">
        <v>63</v>
      </c>
    </row>
    <row r="3" spans="1:10" x14ac:dyDescent="0.25">
      <c r="A3" s="283" t="s">
        <v>285</v>
      </c>
      <c r="B3" s="47"/>
      <c r="C3" s="284" t="s">
        <v>63</v>
      </c>
      <c r="I3" t="s">
        <v>78</v>
      </c>
    </row>
    <row r="4" spans="1:10" ht="18.75" x14ac:dyDescent="0.3">
      <c r="A4" s="283" t="s">
        <v>14</v>
      </c>
      <c r="B4" s="51"/>
      <c r="C4" s="284" t="s">
        <v>63</v>
      </c>
      <c r="E4" s="429"/>
      <c r="I4" s="1" t="str">
        <f>+IF($B$5="Eén-mast",1,"")</f>
        <v/>
      </c>
    </row>
    <row r="5" spans="1:10" x14ac:dyDescent="0.25">
      <c r="A5" s="283" t="s">
        <v>13</v>
      </c>
      <c r="B5" s="51" t="s">
        <v>61</v>
      </c>
      <c r="C5" s="284" t="s">
        <v>63</v>
      </c>
      <c r="I5" s="1" t="str">
        <f>+IF($B$5="Twee-mast",2,"")</f>
        <v/>
      </c>
    </row>
    <row r="6" spans="1:10" x14ac:dyDescent="0.25">
      <c r="A6" s="283" t="s">
        <v>11</v>
      </c>
      <c r="B6" s="288"/>
      <c r="C6" s="284" t="s">
        <v>16</v>
      </c>
      <c r="I6" s="1" t="str">
        <f>+IF($B$5="Drie-mast",3,"")</f>
        <v/>
      </c>
    </row>
    <row r="7" spans="1:10" x14ac:dyDescent="0.25">
      <c r="A7" s="283" t="s">
        <v>12</v>
      </c>
      <c r="B7" s="288"/>
      <c r="C7" s="284" t="s">
        <v>16</v>
      </c>
      <c r="I7" s="1">
        <f>+IF($B$5="Vier-mast",4,"")</f>
        <v>4</v>
      </c>
    </row>
    <row r="8" spans="1:10" x14ac:dyDescent="0.25">
      <c r="A8" s="283" t="s">
        <v>872</v>
      </c>
      <c r="B8" s="288"/>
      <c r="C8" s="284" t="s">
        <v>873</v>
      </c>
      <c r="I8">
        <f>SUM(I4:I7)</f>
        <v>4</v>
      </c>
      <c r="J8" t="s">
        <v>96</v>
      </c>
    </row>
    <row r="9" spans="1:10" ht="15.75" thickBot="1" x14ac:dyDescent="0.3">
      <c r="A9" s="536" t="s">
        <v>15</v>
      </c>
      <c r="B9" s="570"/>
      <c r="C9" s="287" t="s">
        <v>17</v>
      </c>
    </row>
    <row r="10" spans="1:10" ht="16.5" customHeight="1" x14ac:dyDescent="0.25">
      <c r="A10" s="285"/>
    </row>
    <row r="11" spans="1:10" ht="16.5" customHeight="1" x14ac:dyDescent="0.25"/>
    <row r="12" spans="1:10" ht="15.75" thickBot="1" x14ac:dyDescent="0.3"/>
    <row r="13" spans="1:10" ht="23.25" x14ac:dyDescent="0.35">
      <c r="A13" s="278" t="s">
        <v>574</v>
      </c>
      <c r="B13" s="556"/>
      <c r="C13" s="557"/>
    </row>
    <row r="14" spans="1:10" x14ac:dyDescent="0.25">
      <c r="A14" s="544" t="s">
        <v>583</v>
      </c>
      <c r="B14" s="545" t="s">
        <v>573</v>
      </c>
      <c r="C14" s="546"/>
    </row>
    <row r="15" spans="1:10" x14ac:dyDescent="0.25">
      <c r="A15" s="544" t="s">
        <v>575</v>
      </c>
      <c r="B15" s="545" t="s">
        <v>584</v>
      </c>
      <c r="C15" s="546"/>
    </row>
    <row r="16" spans="1:10" x14ac:dyDescent="0.25">
      <c r="A16" s="544" t="s">
        <v>270</v>
      </c>
      <c r="B16" s="545" t="s">
        <v>806</v>
      </c>
      <c r="C16" s="546"/>
    </row>
    <row r="17" spans="1:3" x14ac:dyDescent="0.25">
      <c r="A17" s="544" t="s">
        <v>8</v>
      </c>
      <c r="B17" s="545" t="s">
        <v>585</v>
      </c>
      <c r="C17" s="546"/>
    </row>
    <row r="18" spans="1:3" x14ac:dyDescent="0.25">
      <c r="A18" s="547" t="s">
        <v>576</v>
      </c>
      <c r="B18" s="548" t="s">
        <v>586</v>
      </c>
      <c r="C18" s="546"/>
    </row>
    <row r="19" spans="1:3" x14ac:dyDescent="0.25">
      <c r="A19" s="547" t="s">
        <v>577</v>
      </c>
      <c r="B19" s="549" t="s">
        <v>587</v>
      </c>
      <c r="C19" s="546"/>
    </row>
    <row r="20" spans="1:3" x14ac:dyDescent="0.25">
      <c r="A20" s="547" t="s">
        <v>578</v>
      </c>
      <c r="B20" s="548" t="s">
        <v>588</v>
      </c>
      <c r="C20" s="546"/>
    </row>
    <row r="21" spans="1:3" x14ac:dyDescent="0.25">
      <c r="A21" s="547" t="s">
        <v>579</v>
      </c>
      <c r="B21" s="548" t="s">
        <v>589</v>
      </c>
      <c r="C21" s="546"/>
    </row>
    <row r="22" spans="1:3" x14ac:dyDescent="0.25">
      <c r="A22" s="547" t="s">
        <v>580</v>
      </c>
      <c r="B22" s="548" t="s">
        <v>590</v>
      </c>
      <c r="C22" s="546"/>
    </row>
    <row r="23" spans="1:3" x14ac:dyDescent="0.25">
      <c r="A23" s="544" t="s">
        <v>581</v>
      </c>
      <c r="B23" s="545" t="s">
        <v>591</v>
      </c>
      <c r="C23" s="546"/>
    </row>
    <row r="24" spans="1:3" x14ac:dyDescent="0.25">
      <c r="A24" s="544" t="s">
        <v>662</v>
      </c>
      <c r="B24" s="545" t="s">
        <v>592</v>
      </c>
      <c r="C24" s="546"/>
    </row>
    <row r="25" spans="1:3" x14ac:dyDescent="0.25">
      <c r="A25" s="550" t="s">
        <v>582</v>
      </c>
      <c r="B25" s="551" t="s">
        <v>593</v>
      </c>
      <c r="C25" s="552"/>
    </row>
    <row r="26" spans="1:3" ht="15.75" thickBot="1" x14ac:dyDescent="0.3">
      <c r="A26" s="553" t="s">
        <v>805</v>
      </c>
      <c r="B26" s="554" t="s">
        <v>709</v>
      </c>
      <c r="C26" s="555"/>
    </row>
  </sheetData>
  <hyperlinks>
    <hyperlink ref="B14" location="Schip!A1" display="Schip!A1" xr:uid="{00000000-0004-0000-0000-000000000000}"/>
    <hyperlink ref="B15" location="Gebruiksaanwijzing!A1" display="Gebruiksaanwijzing!A1" xr:uid="{00000000-0004-0000-0000-000001000000}"/>
    <hyperlink ref="B17" location="Rondhouten!A1" display="Rondhouten!A1" xr:uid="{00000000-0004-0000-0000-000002000000}"/>
    <hyperlink ref="B18" location="'Onderhoud RH'!A1" display="'Onderhoud RH'!A1" xr:uid="{00000000-0004-0000-0000-000003000000}"/>
    <hyperlink ref="B19" location="'Staand want'!A1" display="'Staand want'!A1" xr:uid="{00000000-0004-0000-0000-000004000000}"/>
    <hyperlink ref="B20" location="'Onderhoud SW'!A1" display="'Onderhoud SW'!A1" xr:uid="{00000000-0004-0000-0000-000005000000}"/>
    <hyperlink ref="B21" location="'Lopend Want'!A1" display="'Lopend Want'!A1" xr:uid="{00000000-0004-0000-0000-000006000000}"/>
    <hyperlink ref="B22" location="'Onderhoud LW'!A1" display="'Onderhoud LW'!A1" xr:uid="{00000000-0004-0000-0000-000007000000}"/>
    <hyperlink ref="B23" location="Estrin!A1" display="Estrin!A1" xr:uid="{00000000-0004-0000-0000-000008000000}"/>
    <hyperlink ref="B24" location="Branchenorm!A1" display="Branchenorm!A1" xr:uid="{00000000-0004-0000-0000-000009000000}"/>
    <hyperlink ref="B25" location="Data!A1" display="Data!A1" xr:uid="{00000000-0004-0000-0000-00000A000000}"/>
    <hyperlink ref="B26" location="Afbeeldingen!A1" display="Afbeeldingen!A1" xr:uid="{00000000-0004-0000-0000-00000B000000}"/>
    <hyperlink ref="B16" location="Zeilen!A1" display="Zeilen!A1" xr:uid="{00000000-0004-0000-0000-00000C000000}"/>
  </hyperlink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Data!$D$4:$D$8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Data!$B$4:$B$48</xm:f>
          </x14:formula1>
          <xm:sqref>B4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A1:O344"/>
  <sheetViews>
    <sheetView zoomScale="115" zoomScaleNormal="115" workbookViewId="0">
      <pane ySplit="1" topLeftCell="A2" activePane="bottomLeft" state="frozen"/>
      <selection pane="bottomLeft"/>
    </sheetView>
  </sheetViews>
  <sheetFormatPr defaultRowHeight="15" x14ac:dyDescent="0.25"/>
  <cols>
    <col min="2" max="2" width="14.5703125" customWidth="1"/>
    <col min="3" max="3" width="14.140625" customWidth="1"/>
    <col min="4" max="4" width="14" customWidth="1"/>
    <col min="5" max="5" width="12.85546875" customWidth="1"/>
    <col min="6" max="6" width="15.5703125" customWidth="1"/>
  </cols>
  <sheetData>
    <row r="1" spans="1:15" ht="28.5" x14ac:dyDescent="0.45">
      <c r="A1" s="294" t="s">
        <v>276</v>
      </c>
      <c r="B1" s="147"/>
      <c r="C1" s="147"/>
      <c r="D1" s="160" t="s">
        <v>594</v>
      </c>
      <c r="E1" s="295" t="s">
        <v>573</v>
      </c>
      <c r="F1" s="147"/>
      <c r="G1" s="147"/>
      <c r="H1" s="147"/>
      <c r="I1" s="147"/>
      <c r="J1" s="147"/>
      <c r="K1" s="147"/>
      <c r="L1" s="147"/>
      <c r="M1" s="147"/>
      <c r="N1" s="147"/>
      <c r="O1" s="100"/>
    </row>
    <row r="2" spans="1:15" x14ac:dyDescent="0.25">
      <c r="A2" s="227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00"/>
    </row>
    <row r="3" spans="1:15" ht="18.75" x14ac:dyDescent="0.3">
      <c r="A3" s="152" t="s">
        <v>415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5" x14ac:dyDescent="0.25">
      <c r="A4" s="231" t="s">
        <v>416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5" x14ac:dyDescent="0.25">
      <c r="A5" s="224"/>
      <c r="B5" s="225"/>
      <c r="C5" s="225"/>
      <c r="D5" s="225"/>
      <c r="E5" s="226"/>
      <c r="O5" s="100"/>
    </row>
    <row r="6" spans="1:15" x14ac:dyDescent="0.25">
      <c r="A6" s="228">
        <v>1</v>
      </c>
      <c r="B6" s="225" t="s">
        <v>417</v>
      </c>
      <c r="C6" s="225"/>
      <c r="D6" s="225"/>
      <c r="E6" s="226"/>
      <c r="O6" s="100"/>
    </row>
    <row r="7" spans="1:15" x14ac:dyDescent="0.25">
      <c r="A7" s="228"/>
      <c r="B7" s="225"/>
      <c r="C7" s="225"/>
      <c r="D7" s="225"/>
      <c r="E7" s="226"/>
      <c r="O7" s="100"/>
    </row>
    <row r="8" spans="1:15" x14ac:dyDescent="0.25">
      <c r="A8" s="228">
        <v>2</v>
      </c>
      <c r="B8" s="225" t="s">
        <v>418</v>
      </c>
      <c r="C8" s="225"/>
      <c r="D8" s="225"/>
      <c r="E8" s="226"/>
      <c r="O8" s="100"/>
    </row>
    <row r="9" spans="1:15" x14ac:dyDescent="0.25">
      <c r="A9" s="228"/>
      <c r="B9" s="225" t="s">
        <v>419</v>
      </c>
      <c r="C9" s="225"/>
      <c r="D9" s="225"/>
      <c r="E9" s="226"/>
      <c r="O9" s="100"/>
    </row>
    <row r="10" spans="1:15" x14ac:dyDescent="0.25">
      <c r="A10" s="229"/>
      <c r="B10" s="225" t="s">
        <v>420</v>
      </c>
      <c r="C10" s="225"/>
      <c r="D10" s="225"/>
      <c r="E10" s="226"/>
      <c r="O10" s="100"/>
    </row>
    <row r="11" spans="1:15" x14ac:dyDescent="0.25">
      <c r="A11" s="229"/>
      <c r="B11" s="225" t="s">
        <v>421</v>
      </c>
      <c r="C11" s="225"/>
      <c r="D11" s="225"/>
      <c r="E11" s="226"/>
      <c r="O11" s="100"/>
    </row>
    <row r="12" spans="1:15" x14ac:dyDescent="0.25">
      <c r="A12" s="230" t="s">
        <v>160</v>
      </c>
      <c r="B12" s="225" t="s">
        <v>422</v>
      </c>
      <c r="C12" s="225"/>
      <c r="D12" s="225"/>
      <c r="E12" s="226"/>
      <c r="O12" s="100"/>
    </row>
    <row r="13" spans="1:15" x14ac:dyDescent="0.25">
      <c r="A13" s="230" t="s">
        <v>162</v>
      </c>
      <c r="B13" s="225" t="s">
        <v>423</v>
      </c>
      <c r="C13" s="225"/>
      <c r="D13" s="225"/>
      <c r="E13" s="226"/>
      <c r="O13" s="100"/>
    </row>
    <row r="14" spans="1:15" x14ac:dyDescent="0.25">
      <c r="A14" s="230" t="s">
        <v>164</v>
      </c>
      <c r="B14" s="225" t="s">
        <v>424</v>
      </c>
      <c r="C14" s="225"/>
      <c r="D14" s="225"/>
      <c r="E14" s="226"/>
      <c r="O14" s="100"/>
    </row>
    <row r="15" spans="1:15" x14ac:dyDescent="0.25">
      <c r="A15" s="224"/>
      <c r="B15" s="225" t="s">
        <v>425</v>
      </c>
      <c r="C15" s="225"/>
      <c r="D15" s="225"/>
      <c r="E15" s="226"/>
      <c r="O15" s="100"/>
    </row>
    <row r="16" spans="1:15" x14ac:dyDescent="0.25">
      <c r="A16" s="224"/>
      <c r="B16" s="225" t="s">
        <v>426</v>
      </c>
      <c r="C16" s="225"/>
      <c r="D16" s="225"/>
      <c r="E16" s="226"/>
      <c r="O16" s="100"/>
    </row>
    <row r="17" spans="1:15" x14ac:dyDescent="0.25">
      <c r="A17" s="224"/>
      <c r="B17" s="225" t="s">
        <v>184</v>
      </c>
      <c r="C17" s="225"/>
      <c r="D17" s="225"/>
      <c r="E17" s="226"/>
      <c r="O17" s="100"/>
    </row>
    <row r="18" spans="1:15" x14ac:dyDescent="0.25">
      <c r="A18" s="224"/>
      <c r="B18" s="225"/>
      <c r="C18" s="225"/>
      <c r="D18" s="225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100"/>
    </row>
    <row r="19" spans="1:15" ht="18.75" x14ac:dyDescent="0.3">
      <c r="A19" s="232" t="s">
        <v>427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15" x14ac:dyDescent="0.25">
      <c r="A20" s="233" t="s">
        <v>428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spans="1:15" x14ac:dyDescent="0.25">
      <c r="A21" s="98"/>
      <c r="O21" s="100"/>
    </row>
    <row r="22" spans="1:15" x14ac:dyDescent="0.25">
      <c r="A22" s="154">
        <v>1</v>
      </c>
      <c r="B22" t="s">
        <v>158</v>
      </c>
      <c r="O22" s="100"/>
    </row>
    <row r="23" spans="1:15" x14ac:dyDescent="0.25">
      <c r="A23" s="154"/>
      <c r="O23" s="100"/>
    </row>
    <row r="24" spans="1:15" x14ac:dyDescent="0.25">
      <c r="A24" s="154">
        <v>2</v>
      </c>
      <c r="B24" t="s">
        <v>159</v>
      </c>
      <c r="O24" s="100"/>
    </row>
    <row r="25" spans="1:15" x14ac:dyDescent="0.25">
      <c r="A25" s="99" t="s">
        <v>160</v>
      </c>
      <c r="B25" t="s">
        <v>161</v>
      </c>
      <c r="O25" s="100"/>
    </row>
    <row r="26" spans="1:15" x14ac:dyDescent="0.25">
      <c r="A26" s="99" t="s">
        <v>162</v>
      </c>
      <c r="B26" t="s">
        <v>163</v>
      </c>
      <c r="O26" s="100"/>
    </row>
    <row r="27" spans="1:15" x14ac:dyDescent="0.25">
      <c r="A27" s="99" t="s">
        <v>164</v>
      </c>
      <c r="B27" t="s">
        <v>165</v>
      </c>
      <c r="O27" s="100"/>
    </row>
    <row r="28" spans="1:15" x14ac:dyDescent="0.25">
      <c r="A28" s="99" t="s">
        <v>166</v>
      </c>
      <c r="B28" t="s">
        <v>167</v>
      </c>
      <c r="O28" s="100"/>
    </row>
    <row r="29" spans="1:15" x14ac:dyDescent="0.25">
      <c r="A29" s="99"/>
      <c r="O29" s="100"/>
    </row>
    <row r="30" spans="1:15" x14ac:dyDescent="0.25">
      <c r="A30" s="154">
        <v>3</v>
      </c>
      <c r="B30" t="s">
        <v>168</v>
      </c>
      <c r="O30" s="100"/>
    </row>
    <row r="31" spans="1:15" x14ac:dyDescent="0.25">
      <c r="A31" s="155"/>
      <c r="B31" t="s">
        <v>169</v>
      </c>
      <c r="O31" s="100"/>
    </row>
    <row r="32" spans="1:15" x14ac:dyDescent="0.25">
      <c r="A32" s="155"/>
      <c r="B32" t="s">
        <v>170</v>
      </c>
      <c r="O32" s="100"/>
    </row>
    <row r="33" spans="1:15" x14ac:dyDescent="0.25">
      <c r="A33" s="155"/>
      <c r="O33" s="100"/>
    </row>
    <row r="34" spans="1:15" x14ac:dyDescent="0.25">
      <c r="A34" s="155">
        <v>4</v>
      </c>
      <c r="B34" t="s">
        <v>171</v>
      </c>
      <c r="O34" s="100"/>
    </row>
    <row r="35" spans="1:15" x14ac:dyDescent="0.25">
      <c r="A35" s="155"/>
      <c r="B35" t="s">
        <v>172</v>
      </c>
      <c r="O35" s="100"/>
    </row>
    <row r="36" spans="1:15" x14ac:dyDescent="0.25">
      <c r="A36" s="155"/>
      <c r="O36" s="100"/>
    </row>
    <row r="37" spans="1:15" x14ac:dyDescent="0.25">
      <c r="A37" s="155">
        <v>5</v>
      </c>
      <c r="B37" t="s">
        <v>173</v>
      </c>
      <c r="O37" s="100"/>
    </row>
    <row r="38" spans="1:15" x14ac:dyDescent="0.25">
      <c r="A38" s="155"/>
      <c r="B38" t="s">
        <v>174</v>
      </c>
      <c r="O38" s="100"/>
    </row>
    <row r="39" spans="1:15" x14ac:dyDescent="0.25">
      <c r="A39" s="155"/>
      <c r="B39" t="s">
        <v>175</v>
      </c>
      <c r="O39" s="100"/>
    </row>
    <row r="40" spans="1:15" x14ac:dyDescent="0.25">
      <c r="A40" s="155"/>
      <c r="O40" s="100"/>
    </row>
    <row r="41" spans="1:15" x14ac:dyDescent="0.25">
      <c r="A41" s="155">
        <v>6</v>
      </c>
      <c r="B41" t="s">
        <v>176</v>
      </c>
      <c r="O41" s="100"/>
    </row>
    <row r="42" spans="1:15" x14ac:dyDescent="0.25">
      <c r="A42" s="155"/>
      <c r="B42" t="s">
        <v>177</v>
      </c>
      <c r="O42" s="100"/>
    </row>
    <row r="43" spans="1:15" x14ac:dyDescent="0.25">
      <c r="A43" s="155"/>
      <c r="B43" t="s">
        <v>178</v>
      </c>
      <c r="O43" s="100"/>
    </row>
    <row r="44" spans="1:15" x14ac:dyDescent="0.25">
      <c r="A44" s="155"/>
      <c r="B44" t="s">
        <v>179</v>
      </c>
      <c r="O44" s="100"/>
    </row>
    <row r="45" spans="1:15" x14ac:dyDescent="0.25">
      <c r="A45" s="155"/>
      <c r="B45" t="s">
        <v>180</v>
      </c>
      <c r="O45" s="100"/>
    </row>
    <row r="46" spans="1:15" x14ac:dyDescent="0.25">
      <c r="A46" s="155"/>
      <c r="O46" s="100"/>
    </row>
    <row r="47" spans="1:15" x14ac:dyDescent="0.25">
      <c r="A47" s="155">
        <v>7</v>
      </c>
      <c r="B47" t="s">
        <v>181</v>
      </c>
      <c r="O47" s="100"/>
    </row>
    <row r="48" spans="1:15" x14ac:dyDescent="0.25">
      <c r="A48" s="155"/>
      <c r="B48" t="s">
        <v>182</v>
      </c>
      <c r="O48" s="100"/>
    </row>
    <row r="49" spans="1:15" x14ac:dyDescent="0.25">
      <c r="A49" s="155"/>
      <c r="B49" t="s">
        <v>183</v>
      </c>
      <c r="O49" s="100"/>
    </row>
    <row r="50" spans="1:15" x14ac:dyDescent="0.25">
      <c r="A50" s="155"/>
      <c r="B50" t="s">
        <v>184</v>
      </c>
      <c r="O50" s="100"/>
    </row>
    <row r="51" spans="1:15" x14ac:dyDescent="0.25">
      <c r="A51" s="155"/>
      <c r="O51" s="100"/>
    </row>
    <row r="52" spans="1:15" x14ac:dyDescent="0.25">
      <c r="A52" s="155">
        <v>8</v>
      </c>
      <c r="B52" t="s">
        <v>185</v>
      </c>
      <c r="O52" s="100"/>
    </row>
    <row r="53" spans="1:15" x14ac:dyDescent="0.25">
      <c r="B53" t="s">
        <v>186</v>
      </c>
      <c r="O53" s="100"/>
    </row>
    <row r="54" spans="1:15" x14ac:dyDescent="0.25">
      <c r="O54" s="100"/>
    </row>
    <row r="55" spans="1:15" ht="18.75" x14ac:dyDescent="0.3">
      <c r="A55" s="152" t="s">
        <v>187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</row>
    <row r="56" spans="1:15" x14ac:dyDescent="0.25">
      <c r="A56" s="231" t="s">
        <v>188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</row>
    <row r="57" spans="1:15" x14ac:dyDescent="0.25">
      <c r="O57" s="100"/>
    </row>
    <row r="58" spans="1:15" x14ac:dyDescent="0.25">
      <c r="A58" s="151">
        <v>1</v>
      </c>
      <c r="B58" s="141" t="s">
        <v>189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00"/>
    </row>
    <row r="59" spans="1:15" ht="15.75" thickBot="1" x14ac:dyDescent="0.3">
      <c r="O59" s="100"/>
    </row>
    <row r="60" spans="1:15" ht="25.5" x14ac:dyDescent="0.25">
      <c r="B60" s="101" t="s">
        <v>205</v>
      </c>
      <c r="C60" s="102" t="s">
        <v>190</v>
      </c>
      <c r="D60" s="148" t="s">
        <v>191</v>
      </c>
      <c r="E60" s="103" t="s">
        <v>192</v>
      </c>
      <c r="O60" s="100"/>
    </row>
    <row r="61" spans="1:15" ht="15.75" thickBot="1" x14ac:dyDescent="0.3">
      <c r="B61" s="104" t="s">
        <v>16</v>
      </c>
      <c r="C61" s="105" t="s">
        <v>193</v>
      </c>
      <c r="D61" s="105" t="s">
        <v>193</v>
      </c>
      <c r="E61" s="106" t="s">
        <v>193</v>
      </c>
      <c r="O61" s="100"/>
    </row>
    <row r="62" spans="1:15" x14ac:dyDescent="0.25">
      <c r="B62" s="107">
        <v>10</v>
      </c>
      <c r="C62" s="108">
        <v>20</v>
      </c>
      <c r="D62" s="108">
        <v>17</v>
      </c>
      <c r="E62" s="109">
        <v>15</v>
      </c>
      <c r="O62" s="100"/>
    </row>
    <row r="63" spans="1:15" x14ac:dyDescent="0.25">
      <c r="B63" s="110">
        <v>11</v>
      </c>
      <c r="C63" s="111">
        <v>22</v>
      </c>
      <c r="D63" s="111">
        <v>17</v>
      </c>
      <c r="E63" s="112">
        <v>15</v>
      </c>
      <c r="O63" s="100"/>
    </row>
    <row r="64" spans="1:15" x14ac:dyDescent="0.25">
      <c r="B64" s="110">
        <v>12</v>
      </c>
      <c r="C64" s="111">
        <v>24</v>
      </c>
      <c r="D64" s="111">
        <v>19</v>
      </c>
      <c r="E64" s="112">
        <v>17</v>
      </c>
      <c r="O64" s="100"/>
    </row>
    <row r="65" spans="2:15" x14ac:dyDescent="0.25">
      <c r="B65" s="110">
        <v>13</v>
      </c>
      <c r="C65" s="111">
        <v>26</v>
      </c>
      <c r="D65" s="111">
        <v>21</v>
      </c>
      <c r="E65" s="112">
        <v>18</v>
      </c>
      <c r="O65" s="100"/>
    </row>
    <row r="66" spans="2:15" x14ac:dyDescent="0.25">
      <c r="B66" s="110">
        <v>14</v>
      </c>
      <c r="C66" s="111">
        <v>28</v>
      </c>
      <c r="D66" s="111">
        <v>23</v>
      </c>
      <c r="E66" s="112">
        <v>19</v>
      </c>
      <c r="O66" s="100"/>
    </row>
    <row r="67" spans="2:15" x14ac:dyDescent="0.25">
      <c r="B67" s="110">
        <v>15</v>
      </c>
      <c r="C67" s="111">
        <v>30</v>
      </c>
      <c r="D67" s="111">
        <v>25</v>
      </c>
      <c r="E67" s="112">
        <v>21</v>
      </c>
      <c r="O67" s="100"/>
    </row>
    <row r="68" spans="2:15" x14ac:dyDescent="0.25">
      <c r="B68" s="110">
        <v>16</v>
      </c>
      <c r="C68" s="111">
        <v>32</v>
      </c>
      <c r="D68" s="111">
        <v>26</v>
      </c>
      <c r="E68" s="112">
        <v>22</v>
      </c>
      <c r="O68" s="100"/>
    </row>
    <row r="69" spans="2:15" x14ac:dyDescent="0.25">
      <c r="B69" s="110">
        <v>17</v>
      </c>
      <c r="C69" s="111">
        <v>34</v>
      </c>
      <c r="D69" s="111">
        <v>28</v>
      </c>
      <c r="E69" s="112">
        <v>23</v>
      </c>
      <c r="O69" s="100"/>
    </row>
    <row r="70" spans="2:15" x14ac:dyDescent="0.25">
      <c r="B70" s="113">
        <v>18</v>
      </c>
      <c r="C70" s="114">
        <v>36</v>
      </c>
      <c r="D70" s="114">
        <v>29</v>
      </c>
      <c r="E70" s="115">
        <v>24</v>
      </c>
      <c r="O70" s="100"/>
    </row>
    <row r="71" spans="2:15" x14ac:dyDescent="0.25">
      <c r="B71" s="110">
        <v>19</v>
      </c>
      <c r="C71" s="111">
        <v>39</v>
      </c>
      <c r="D71" s="111">
        <v>31</v>
      </c>
      <c r="E71" s="112">
        <v>25</v>
      </c>
      <c r="O71" s="100"/>
    </row>
    <row r="72" spans="2:15" x14ac:dyDescent="0.25">
      <c r="B72" s="110">
        <v>20</v>
      </c>
      <c r="C72" s="111">
        <v>42</v>
      </c>
      <c r="D72" s="111">
        <v>33</v>
      </c>
      <c r="E72" s="112">
        <v>26</v>
      </c>
      <c r="O72" s="100"/>
    </row>
    <row r="73" spans="2:15" x14ac:dyDescent="0.25">
      <c r="B73" s="110">
        <v>21</v>
      </c>
      <c r="C73" s="111">
        <v>43</v>
      </c>
      <c r="D73" s="111">
        <v>34</v>
      </c>
      <c r="E73" s="112">
        <v>28</v>
      </c>
      <c r="O73" s="100"/>
    </row>
    <row r="74" spans="2:15" x14ac:dyDescent="0.25">
      <c r="B74" s="110">
        <v>22</v>
      </c>
      <c r="C74" s="111">
        <v>44</v>
      </c>
      <c r="D74" s="111">
        <v>35</v>
      </c>
      <c r="E74" s="112">
        <v>29</v>
      </c>
      <c r="H74" s="116"/>
      <c r="O74" s="100"/>
    </row>
    <row r="75" spans="2:15" x14ac:dyDescent="0.25">
      <c r="B75" s="110">
        <v>23</v>
      </c>
      <c r="C75" s="111">
        <v>46</v>
      </c>
      <c r="D75" s="111">
        <v>37</v>
      </c>
      <c r="E75" s="112">
        <v>30</v>
      </c>
      <c r="O75" s="100"/>
    </row>
    <row r="76" spans="2:15" x14ac:dyDescent="0.25">
      <c r="B76" s="110">
        <v>24</v>
      </c>
      <c r="C76" s="111">
        <v>49</v>
      </c>
      <c r="D76" s="111">
        <v>39</v>
      </c>
      <c r="E76" s="112">
        <v>32</v>
      </c>
      <c r="O76" s="100"/>
    </row>
    <row r="77" spans="2:15" ht="15.75" thickBot="1" x14ac:dyDescent="0.3">
      <c r="B77" s="117">
        <v>25</v>
      </c>
      <c r="C77" s="118">
        <v>51</v>
      </c>
      <c r="D77" s="118">
        <v>41</v>
      </c>
      <c r="E77" s="119">
        <v>33</v>
      </c>
      <c r="O77" s="100"/>
    </row>
    <row r="78" spans="2:15" x14ac:dyDescent="0.25">
      <c r="B78" s="140" t="s">
        <v>429</v>
      </c>
      <c r="C78" s="140"/>
      <c r="O78" s="100"/>
    </row>
    <row r="79" spans="2:15" x14ac:dyDescent="0.25">
      <c r="B79" s="149"/>
      <c r="C79" s="149"/>
      <c r="O79" s="100"/>
    </row>
    <row r="80" spans="2:15" x14ac:dyDescent="0.25">
      <c r="B80" t="s">
        <v>194</v>
      </c>
      <c r="O80" s="100"/>
    </row>
    <row r="81" spans="1:15" x14ac:dyDescent="0.25">
      <c r="B81" t="s">
        <v>195</v>
      </c>
      <c r="O81" s="100"/>
    </row>
    <row r="82" spans="1:15" x14ac:dyDescent="0.25">
      <c r="O82" s="100"/>
    </row>
    <row r="83" spans="1:15" x14ac:dyDescent="0.25">
      <c r="B83" t="s">
        <v>196</v>
      </c>
      <c r="O83" s="100"/>
    </row>
    <row r="84" spans="1:15" x14ac:dyDescent="0.25">
      <c r="B84" t="s">
        <v>197</v>
      </c>
      <c r="O84" s="100"/>
    </row>
    <row r="85" spans="1:15" x14ac:dyDescent="0.25">
      <c r="O85" s="100"/>
    </row>
    <row r="86" spans="1:15" x14ac:dyDescent="0.25">
      <c r="B86" t="s">
        <v>198</v>
      </c>
      <c r="O86" s="100"/>
    </row>
    <row r="87" spans="1:15" x14ac:dyDescent="0.25">
      <c r="B87" t="s">
        <v>199</v>
      </c>
      <c r="O87" s="100"/>
    </row>
    <row r="88" spans="1:15" x14ac:dyDescent="0.25">
      <c r="O88" s="100"/>
    </row>
    <row r="89" spans="1:15" x14ac:dyDescent="0.25">
      <c r="A89" s="150">
        <v>2</v>
      </c>
      <c r="B89" s="141" t="s">
        <v>200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00"/>
    </row>
    <row r="90" spans="1:15" x14ac:dyDescent="0.25">
      <c r="A90" s="143"/>
      <c r="B90" s="141" t="s">
        <v>201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00"/>
    </row>
    <row r="91" spans="1:15" x14ac:dyDescent="0.25">
      <c r="O91" s="100"/>
    </row>
    <row r="92" spans="1:15" ht="18.75" x14ac:dyDescent="0.3">
      <c r="A92" s="152" t="s">
        <v>202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</row>
    <row r="93" spans="1:15" x14ac:dyDescent="0.25">
      <c r="A93" s="231" t="s">
        <v>203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</row>
    <row r="94" spans="1:15" x14ac:dyDescent="0.25">
      <c r="A94" s="147"/>
      <c r="O94" s="100"/>
    </row>
    <row r="95" spans="1:15" x14ac:dyDescent="0.25">
      <c r="A95" s="151">
        <v>1</v>
      </c>
      <c r="B95" s="141" t="s">
        <v>204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00"/>
    </row>
    <row r="96" spans="1:15" ht="15.75" thickBot="1" x14ac:dyDescent="0.3">
      <c r="O96" s="100"/>
    </row>
    <row r="97" spans="2:15" x14ac:dyDescent="0.25">
      <c r="B97" s="120" t="s">
        <v>205</v>
      </c>
      <c r="C97" s="121" t="s">
        <v>206</v>
      </c>
      <c r="D97" s="121" t="s">
        <v>207</v>
      </c>
      <c r="E97" s="122" t="s">
        <v>208</v>
      </c>
      <c r="O97" s="100"/>
    </row>
    <row r="98" spans="2:15" x14ac:dyDescent="0.25">
      <c r="B98" s="123"/>
      <c r="C98" s="124"/>
      <c r="D98" s="125" t="s">
        <v>209</v>
      </c>
      <c r="E98" s="126" t="s">
        <v>210</v>
      </c>
      <c r="O98" s="100"/>
    </row>
    <row r="99" spans="2:15" ht="15.75" thickBot="1" x14ac:dyDescent="0.3">
      <c r="B99" s="127" t="s">
        <v>16</v>
      </c>
      <c r="C99" s="128" t="s">
        <v>193</v>
      </c>
      <c r="D99" s="128" t="s">
        <v>193</v>
      </c>
      <c r="E99" s="129" t="s">
        <v>193</v>
      </c>
      <c r="O99" s="100"/>
    </row>
    <row r="100" spans="2:15" x14ac:dyDescent="0.25">
      <c r="B100" s="130">
        <v>4</v>
      </c>
      <c r="C100" s="131">
        <v>8</v>
      </c>
      <c r="D100" s="131">
        <v>7</v>
      </c>
      <c r="E100" s="132">
        <v>6</v>
      </c>
      <c r="O100" s="100"/>
    </row>
    <row r="101" spans="2:15" x14ac:dyDescent="0.25">
      <c r="B101" s="133">
        <v>5</v>
      </c>
      <c r="C101" s="134">
        <v>10</v>
      </c>
      <c r="D101" s="134">
        <v>9</v>
      </c>
      <c r="E101" s="135">
        <v>7</v>
      </c>
      <c r="O101" s="100"/>
    </row>
    <row r="102" spans="2:15" x14ac:dyDescent="0.25">
      <c r="B102" s="133">
        <v>6</v>
      </c>
      <c r="C102" s="134">
        <v>13</v>
      </c>
      <c r="D102" s="134">
        <v>11</v>
      </c>
      <c r="E102" s="135">
        <v>8</v>
      </c>
      <c r="O102" s="100"/>
    </row>
    <row r="103" spans="2:15" x14ac:dyDescent="0.25">
      <c r="B103" s="133">
        <v>7</v>
      </c>
      <c r="C103" s="134">
        <v>14</v>
      </c>
      <c r="D103" s="134">
        <v>13</v>
      </c>
      <c r="E103" s="135">
        <v>10</v>
      </c>
      <c r="O103" s="100"/>
    </row>
    <row r="104" spans="2:15" x14ac:dyDescent="0.25">
      <c r="B104" s="133">
        <v>8</v>
      </c>
      <c r="C104" s="134">
        <v>16</v>
      </c>
      <c r="D104" s="134">
        <v>15</v>
      </c>
      <c r="E104" s="135">
        <v>11</v>
      </c>
      <c r="O104" s="100"/>
    </row>
    <row r="105" spans="2:15" x14ac:dyDescent="0.25">
      <c r="B105" s="133">
        <v>9</v>
      </c>
      <c r="C105" s="134">
        <v>18</v>
      </c>
      <c r="D105" s="134">
        <v>16</v>
      </c>
      <c r="E105" s="135">
        <v>13</v>
      </c>
      <c r="O105" s="100"/>
    </row>
    <row r="106" spans="2:15" x14ac:dyDescent="0.25">
      <c r="B106" s="133">
        <v>10</v>
      </c>
      <c r="C106" s="134">
        <v>20</v>
      </c>
      <c r="D106" s="134">
        <v>18</v>
      </c>
      <c r="E106" s="135">
        <v>15</v>
      </c>
      <c r="O106" s="100"/>
    </row>
    <row r="107" spans="2:15" x14ac:dyDescent="0.25">
      <c r="B107" s="133">
        <v>11</v>
      </c>
      <c r="C107" s="134">
        <v>23</v>
      </c>
      <c r="D107" s="134">
        <v>20</v>
      </c>
      <c r="E107" s="135">
        <v>16</v>
      </c>
      <c r="O107" s="100"/>
    </row>
    <row r="108" spans="2:15" x14ac:dyDescent="0.25">
      <c r="B108" s="133">
        <v>12</v>
      </c>
      <c r="C108" s="134">
        <v>25</v>
      </c>
      <c r="D108" s="134">
        <v>22</v>
      </c>
      <c r="E108" s="135">
        <v>17</v>
      </c>
      <c r="O108" s="100"/>
    </row>
    <row r="109" spans="2:15" x14ac:dyDescent="0.25">
      <c r="B109" s="133">
        <v>13</v>
      </c>
      <c r="C109" s="134">
        <v>26</v>
      </c>
      <c r="D109" s="134">
        <v>24</v>
      </c>
      <c r="E109" s="135">
        <v>18</v>
      </c>
      <c r="O109" s="100"/>
    </row>
    <row r="110" spans="2:15" x14ac:dyDescent="0.25">
      <c r="B110" s="133">
        <v>14</v>
      </c>
      <c r="C110" s="134">
        <v>28</v>
      </c>
      <c r="D110" s="134">
        <v>25</v>
      </c>
      <c r="E110" s="135">
        <v>20</v>
      </c>
      <c r="O110" s="100"/>
    </row>
    <row r="111" spans="2:15" ht="15.75" thickBot="1" x14ac:dyDescent="0.3">
      <c r="B111" s="136">
        <v>15</v>
      </c>
      <c r="C111" s="137">
        <v>31</v>
      </c>
      <c r="D111" s="137">
        <v>27</v>
      </c>
      <c r="E111" s="138">
        <v>21</v>
      </c>
      <c r="O111" s="100"/>
    </row>
    <row r="112" spans="2:15" x14ac:dyDescent="0.25">
      <c r="B112" s="140" t="s">
        <v>430</v>
      </c>
      <c r="C112" s="139"/>
      <c r="E112" s="140"/>
      <c r="O112" s="100"/>
    </row>
    <row r="113" spans="1:15" x14ac:dyDescent="0.25">
      <c r="B113" s="140" t="s">
        <v>431</v>
      </c>
      <c r="C113" s="139"/>
      <c r="E113" s="140"/>
      <c r="O113" s="100"/>
    </row>
    <row r="114" spans="1:15" x14ac:dyDescent="0.25">
      <c r="B114" s="149" t="s">
        <v>211</v>
      </c>
      <c r="C114" s="149"/>
      <c r="O114" s="100"/>
    </row>
    <row r="115" spans="1:15" x14ac:dyDescent="0.25">
      <c r="B115" s="149" t="s">
        <v>212</v>
      </c>
      <c r="C115" s="149"/>
      <c r="O115" s="100"/>
    </row>
    <row r="116" spans="1:15" x14ac:dyDescent="0.25">
      <c r="O116" s="100"/>
    </row>
    <row r="117" spans="1:15" x14ac:dyDescent="0.25">
      <c r="A117" s="151">
        <v>2</v>
      </c>
      <c r="B117" s="141" t="s">
        <v>213</v>
      </c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00"/>
    </row>
    <row r="118" spans="1:15" x14ac:dyDescent="0.25">
      <c r="A118" s="151"/>
      <c r="B118" s="141" t="s">
        <v>214</v>
      </c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00"/>
    </row>
    <row r="119" spans="1:15" x14ac:dyDescent="0.25">
      <c r="O119" s="100"/>
    </row>
    <row r="120" spans="1:15" ht="18.75" x14ac:dyDescent="0.3">
      <c r="A120" s="152" t="s">
        <v>215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</row>
    <row r="121" spans="1:15" x14ac:dyDescent="0.25">
      <c r="A121" s="231" t="s">
        <v>216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</row>
    <row r="122" spans="1:15" x14ac:dyDescent="0.25">
      <c r="O122" s="100"/>
    </row>
    <row r="123" spans="1:15" x14ac:dyDescent="0.25">
      <c r="A123" s="151">
        <v>1</v>
      </c>
      <c r="B123" s="141" t="s">
        <v>217</v>
      </c>
      <c r="C123" s="141"/>
      <c r="D123" s="141"/>
      <c r="E123" s="141"/>
      <c r="F123" s="141"/>
      <c r="G123" s="141"/>
      <c r="H123" s="141"/>
      <c r="I123" s="141"/>
      <c r="J123" s="141"/>
      <c r="K123" s="142"/>
      <c r="L123" s="141"/>
      <c r="M123" s="141"/>
      <c r="N123" s="141"/>
      <c r="O123" s="100"/>
    </row>
    <row r="124" spans="1:15" ht="15.75" thickBot="1" x14ac:dyDescent="0.3">
      <c r="O124" s="100"/>
    </row>
    <row r="125" spans="1:15" ht="24" x14ac:dyDescent="0.25">
      <c r="B125" s="153" t="s">
        <v>205</v>
      </c>
      <c r="C125" s="156" t="s">
        <v>432</v>
      </c>
      <c r="D125" s="157" t="s">
        <v>433</v>
      </c>
      <c r="E125" s="205"/>
      <c r="O125" s="100"/>
    </row>
    <row r="126" spans="1:15" x14ac:dyDescent="0.25">
      <c r="B126" s="209" t="s">
        <v>16</v>
      </c>
      <c r="C126" s="208" t="s">
        <v>193</v>
      </c>
      <c r="D126" s="210" t="s">
        <v>193</v>
      </c>
      <c r="E126" s="206"/>
      <c r="O126" s="100"/>
    </row>
    <row r="127" spans="1:15" x14ac:dyDescent="0.25">
      <c r="B127" s="133">
        <v>4</v>
      </c>
      <c r="C127" s="134">
        <v>14.5</v>
      </c>
      <c r="D127" s="135">
        <v>12.5</v>
      </c>
      <c r="E127" s="207"/>
      <c r="O127" s="100"/>
    </row>
    <row r="128" spans="1:15" x14ac:dyDescent="0.25">
      <c r="B128" s="133">
        <v>5</v>
      </c>
      <c r="C128" s="134">
        <v>18</v>
      </c>
      <c r="D128" s="135">
        <v>16</v>
      </c>
      <c r="E128" s="207"/>
      <c r="O128" s="100"/>
    </row>
    <row r="129" spans="1:15" x14ac:dyDescent="0.25">
      <c r="B129" s="133">
        <v>6</v>
      </c>
      <c r="C129" s="134">
        <v>22</v>
      </c>
      <c r="D129" s="135">
        <v>19</v>
      </c>
      <c r="E129" s="207"/>
      <c r="O129" s="100"/>
    </row>
    <row r="130" spans="1:15" x14ac:dyDescent="0.25">
      <c r="B130" s="133">
        <v>7</v>
      </c>
      <c r="C130" s="134">
        <v>25</v>
      </c>
      <c r="D130" s="135">
        <v>23</v>
      </c>
      <c r="E130" s="207"/>
      <c r="O130" s="100"/>
    </row>
    <row r="131" spans="1:15" x14ac:dyDescent="0.25">
      <c r="B131" s="133">
        <v>8</v>
      </c>
      <c r="C131" s="134">
        <v>29</v>
      </c>
      <c r="D131" s="135">
        <v>25</v>
      </c>
      <c r="E131" s="207"/>
      <c r="O131" s="100"/>
    </row>
    <row r="132" spans="1:15" x14ac:dyDescent="0.25">
      <c r="B132" s="133">
        <v>9</v>
      </c>
      <c r="C132" s="134">
        <v>32</v>
      </c>
      <c r="D132" s="135">
        <v>29</v>
      </c>
      <c r="E132" s="207"/>
      <c r="O132" s="100"/>
    </row>
    <row r="133" spans="1:15" x14ac:dyDescent="0.25">
      <c r="B133" s="133">
        <v>10</v>
      </c>
      <c r="C133" s="134">
        <v>36</v>
      </c>
      <c r="D133" s="135">
        <v>32</v>
      </c>
      <c r="E133" s="207"/>
      <c r="O133" s="100"/>
    </row>
    <row r="134" spans="1:15" x14ac:dyDescent="0.25">
      <c r="B134" s="133">
        <v>11</v>
      </c>
      <c r="C134" s="134">
        <v>39</v>
      </c>
      <c r="D134" s="135">
        <v>35</v>
      </c>
      <c r="E134" s="207"/>
      <c r="O134" s="100"/>
    </row>
    <row r="135" spans="1:15" ht="15.75" thickBot="1" x14ac:dyDescent="0.3">
      <c r="B135" s="136">
        <v>12</v>
      </c>
      <c r="C135" s="137">
        <v>43</v>
      </c>
      <c r="D135" s="138">
        <v>39</v>
      </c>
      <c r="E135" s="207"/>
      <c r="O135" s="100"/>
    </row>
    <row r="136" spans="1:15" x14ac:dyDescent="0.25">
      <c r="B136" s="140" t="s">
        <v>434</v>
      </c>
      <c r="C136" s="140"/>
      <c r="O136" s="100"/>
    </row>
    <row r="137" spans="1:15" x14ac:dyDescent="0.25">
      <c r="O137" s="100"/>
    </row>
    <row r="138" spans="1:15" x14ac:dyDescent="0.25">
      <c r="A138" s="151">
        <v>2</v>
      </c>
      <c r="B138" s="141" t="s">
        <v>218</v>
      </c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00"/>
    </row>
    <row r="139" spans="1:15" x14ac:dyDescent="0.25">
      <c r="A139" s="151"/>
      <c r="B139" s="141" t="s">
        <v>219</v>
      </c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00"/>
    </row>
    <row r="140" spans="1:15" x14ac:dyDescent="0.25">
      <c r="A140" s="155"/>
      <c r="O140" s="100"/>
    </row>
    <row r="141" spans="1:15" x14ac:dyDescent="0.25">
      <c r="A141" s="151">
        <v>3</v>
      </c>
      <c r="B141" s="141" t="s">
        <v>220</v>
      </c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00"/>
    </row>
    <row r="142" spans="1:15" x14ac:dyDescent="0.25">
      <c r="A142" s="143"/>
      <c r="B142" s="141" t="s">
        <v>221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00"/>
    </row>
    <row r="143" spans="1:15" x14ac:dyDescent="0.25">
      <c r="O143" s="100"/>
    </row>
    <row r="144" spans="1:15" ht="18.75" x14ac:dyDescent="0.3">
      <c r="A144" s="152" t="s">
        <v>222</v>
      </c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</row>
    <row r="145" spans="1:15" x14ac:dyDescent="0.25">
      <c r="A145" s="231" t="s">
        <v>223</v>
      </c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</row>
    <row r="146" spans="1:15" x14ac:dyDescent="0.25">
      <c r="O146" s="100"/>
    </row>
    <row r="147" spans="1:15" x14ac:dyDescent="0.25">
      <c r="A147" s="158">
        <v>1</v>
      </c>
      <c r="B147" s="620" t="s">
        <v>224</v>
      </c>
      <c r="C147" s="620"/>
      <c r="D147" s="620"/>
      <c r="E147" s="620"/>
      <c r="F147" s="620"/>
      <c r="G147" s="620"/>
      <c r="H147" s="620"/>
      <c r="I147" s="620"/>
      <c r="J147" s="620"/>
      <c r="K147" s="620"/>
      <c r="L147" s="620"/>
      <c r="M147" s="620"/>
      <c r="N147" s="620"/>
      <c r="O147" s="100"/>
    </row>
    <row r="148" spans="1:15" ht="15.75" thickBot="1" x14ac:dyDescent="0.3">
      <c r="A148" s="155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100"/>
    </row>
    <row r="149" spans="1:15" x14ac:dyDescent="0.25">
      <c r="B149" s="203" t="s">
        <v>435</v>
      </c>
      <c r="C149" s="204"/>
      <c r="D149" s="165">
        <v>2</v>
      </c>
      <c r="E149" s="131">
        <v>3</v>
      </c>
      <c r="F149" s="131">
        <v>4</v>
      </c>
      <c r="G149" s="131">
        <v>5</v>
      </c>
      <c r="H149" s="131">
        <v>6</v>
      </c>
      <c r="I149" s="131">
        <v>7</v>
      </c>
      <c r="J149" s="131">
        <v>8</v>
      </c>
      <c r="K149" s="131">
        <v>9</v>
      </c>
      <c r="L149" s="132">
        <v>10</v>
      </c>
      <c r="O149" s="100"/>
    </row>
    <row r="150" spans="1:15" ht="15.75" thickBot="1" x14ac:dyDescent="0.3">
      <c r="B150" s="167" t="s">
        <v>225</v>
      </c>
      <c r="C150" s="169"/>
      <c r="D150" s="166">
        <v>7</v>
      </c>
      <c r="E150" s="137">
        <v>10</v>
      </c>
      <c r="F150" s="137">
        <v>14</v>
      </c>
      <c r="G150" s="137">
        <v>17</v>
      </c>
      <c r="H150" s="137">
        <v>21</v>
      </c>
      <c r="I150" s="137">
        <v>24</v>
      </c>
      <c r="J150" s="137">
        <v>28</v>
      </c>
      <c r="K150" s="137">
        <v>31</v>
      </c>
      <c r="L150" s="138">
        <v>35</v>
      </c>
      <c r="O150" s="100"/>
    </row>
    <row r="151" spans="1:15" x14ac:dyDescent="0.25">
      <c r="B151" s="140" t="s">
        <v>436</v>
      </c>
      <c r="C151" s="140"/>
      <c r="O151" s="100"/>
    </row>
    <row r="152" spans="1:15" x14ac:dyDescent="0.25">
      <c r="O152" s="100"/>
    </row>
    <row r="153" spans="1:15" x14ac:dyDescent="0.25">
      <c r="A153" s="151">
        <v>2</v>
      </c>
      <c r="B153" s="141" t="s">
        <v>226</v>
      </c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00"/>
    </row>
    <row r="154" spans="1:15" x14ac:dyDescent="0.25">
      <c r="A154" s="143"/>
      <c r="B154" s="141" t="s">
        <v>221</v>
      </c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00"/>
    </row>
    <row r="155" spans="1:15" x14ac:dyDescent="0.25">
      <c r="O155" s="100"/>
    </row>
    <row r="156" spans="1:15" ht="18.75" x14ac:dyDescent="0.3">
      <c r="A156" s="152" t="s">
        <v>227</v>
      </c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</row>
    <row r="157" spans="1:15" x14ac:dyDescent="0.25">
      <c r="A157" s="231" t="s">
        <v>228</v>
      </c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</row>
    <row r="158" spans="1:15" x14ac:dyDescent="0.25">
      <c r="O158" s="100"/>
    </row>
    <row r="159" spans="1:15" x14ac:dyDescent="0.25">
      <c r="A159" s="158">
        <v>1</v>
      </c>
      <c r="B159" s="620" t="s">
        <v>437</v>
      </c>
      <c r="C159" s="620"/>
      <c r="D159" s="620"/>
      <c r="E159" s="620"/>
      <c r="F159" s="620"/>
      <c r="G159" s="620"/>
      <c r="H159" s="620"/>
      <c r="I159" s="620"/>
      <c r="J159" s="620"/>
      <c r="K159" s="620"/>
      <c r="L159" s="620"/>
      <c r="M159" s="620"/>
      <c r="N159" s="620"/>
      <c r="O159" s="100"/>
    </row>
    <row r="160" spans="1:15" ht="15.75" thickBot="1" x14ac:dyDescent="0.3">
      <c r="A160" s="160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00"/>
    </row>
    <row r="161" spans="1:15" x14ac:dyDescent="0.25">
      <c r="B161" s="211" t="s">
        <v>435</v>
      </c>
      <c r="C161" s="161">
        <v>5</v>
      </c>
      <c r="D161" s="161">
        <v>6</v>
      </c>
      <c r="E161" s="161">
        <v>7</v>
      </c>
      <c r="F161" s="161">
        <v>8</v>
      </c>
      <c r="G161" s="161">
        <v>9</v>
      </c>
      <c r="H161" s="161">
        <v>10</v>
      </c>
      <c r="I161" s="161">
        <v>11</v>
      </c>
      <c r="J161" s="161">
        <v>12</v>
      </c>
      <c r="K161" s="161">
        <v>13</v>
      </c>
      <c r="L161" s="161">
        <v>14</v>
      </c>
      <c r="M161" s="161">
        <v>15</v>
      </c>
      <c r="N161" s="162">
        <v>16</v>
      </c>
      <c r="O161" s="100"/>
    </row>
    <row r="162" spans="1:15" ht="15.75" thickBot="1" x14ac:dyDescent="0.3">
      <c r="B162" s="168" t="s">
        <v>438</v>
      </c>
      <c r="C162" s="163">
        <v>14</v>
      </c>
      <c r="D162" s="163">
        <v>15</v>
      </c>
      <c r="E162" s="163">
        <v>16</v>
      </c>
      <c r="F162" s="163">
        <v>17</v>
      </c>
      <c r="G162" s="163">
        <v>18</v>
      </c>
      <c r="H162" s="163">
        <v>20</v>
      </c>
      <c r="I162" s="163">
        <v>21</v>
      </c>
      <c r="J162" s="163">
        <v>23</v>
      </c>
      <c r="K162" s="163">
        <v>24</v>
      </c>
      <c r="L162" s="163">
        <v>25</v>
      </c>
      <c r="M162" s="163">
        <v>26</v>
      </c>
      <c r="N162" s="164">
        <v>27</v>
      </c>
      <c r="O162" s="100"/>
    </row>
    <row r="163" spans="1:15" x14ac:dyDescent="0.25">
      <c r="B163" s="140" t="s">
        <v>439</v>
      </c>
      <c r="C163" s="140"/>
      <c r="O163" s="100"/>
    </row>
    <row r="164" spans="1:15" x14ac:dyDescent="0.25">
      <c r="O164" s="100"/>
    </row>
    <row r="165" spans="1:15" x14ac:dyDescent="0.25">
      <c r="A165" s="155">
        <v>2</v>
      </c>
      <c r="B165" t="s">
        <v>440</v>
      </c>
      <c r="O165" s="100"/>
    </row>
    <row r="166" spans="1:15" x14ac:dyDescent="0.25">
      <c r="A166" s="155"/>
      <c r="O166" s="100"/>
    </row>
    <row r="167" spans="1:15" x14ac:dyDescent="0.25">
      <c r="A167" s="155">
        <v>3</v>
      </c>
      <c r="B167" t="s">
        <v>441</v>
      </c>
      <c r="O167" s="100"/>
    </row>
    <row r="168" spans="1:15" x14ac:dyDescent="0.25">
      <c r="A168" s="155"/>
      <c r="O168" s="100"/>
    </row>
    <row r="169" spans="1:15" x14ac:dyDescent="0.25">
      <c r="A169" s="155">
        <v>4</v>
      </c>
      <c r="B169" t="s">
        <v>442</v>
      </c>
      <c r="O169" s="100"/>
    </row>
    <row r="170" spans="1:15" x14ac:dyDescent="0.25">
      <c r="A170" s="155"/>
      <c r="O170" s="100"/>
    </row>
    <row r="171" spans="1:15" x14ac:dyDescent="0.25">
      <c r="A171" s="155">
        <v>5</v>
      </c>
      <c r="B171" t="s">
        <v>443</v>
      </c>
      <c r="O171" s="100"/>
    </row>
    <row r="172" spans="1:15" x14ac:dyDescent="0.25">
      <c r="A172" s="99" t="s">
        <v>160</v>
      </c>
      <c r="B172" t="s">
        <v>444</v>
      </c>
      <c r="O172" s="100"/>
    </row>
    <row r="173" spans="1:15" x14ac:dyDescent="0.25">
      <c r="A173" s="99"/>
      <c r="B173" t="s">
        <v>229</v>
      </c>
      <c r="O173" s="100"/>
    </row>
    <row r="174" spans="1:15" x14ac:dyDescent="0.25">
      <c r="A174" s="99" t="s">
        <v>162</v>
      </c>
      <c r="B174" t="s">
        <v>445</v>
      </c>
      <c r="O174" s="100"/>
    </row>
    <row r="175" spans="1:15" x14ac:dyDescent="0.25">
      <c r="B175" t="s">
        <v>230</v>
      </c>
      <c r="O175" s="100"/>
    </row>
    <row r="176" spans="1:15" x14ac:dyDescent="0.25">
      <c r="B176" t="s">
        <v>231</v>
      </c>
      <c r="O176" s="100"/>
    </row>
    <row r="177" spans="1:15" x14ac:dyDescent="0.25">
      <c r="O177" s="100"/>
    </row>
    <row r="178" spans="1:15" x14ac:dyDescent="0.25">
      <c r="A178" s="155">
        <v>6</v>
      </c>
      <c r="B178" t="s">
        <v>446</v>
      </c>
      <c r="O178" s="100"/>
    </row>
    <row r="179" spans="1:15" x14ac:dyDescent="0.25">
      <c r="B179" t="s">
        <v>197</v>
      </c>
      <c r="O179" s="100"/>
    </row>
    <row r="180" spans="1:15" x14ac:dyDescent="0.25">
      <c r="O180" s="100"/>
    </row>
    <row r="181" spans="1:15" ht="18.75" x14ac:dyDescent="0.3">
      <c r="A181" s="152" t="s">
        <v>232</v>
      </c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</row>
    <row r="182" spans="1:15" x14ac:dyDescent="0.25">
      <c r="A182" s="231" t="s">
        <v>233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</row>
    <row r="183" spans="1:15" x14ac:dyDescent="0.25">
      <c r="O183" s="100"/>
    </row>
    <row r="184" spans="1:15" x14ac:dyDescent="0.25">
      <c r="A184" s="155">
        <v>1</v>
      </c>
      <c r="B184" s="141" t="s">
        <v>447</v>
      </c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00"/>
    </row>
    <row r="185" spans="1:15" ht="15.75" thickBot="1" x14ac:dyDescent="0.3">
      <c r="O185" s="100"/>
    </row>
    <row r="186" spans="1:15" x14ac:dyDescent="0.25">
      <c r="B186" s="203" t="s">
        <v>435</v>
      </c>
      <c r="C186" s="165">
        <v>4</v>
      </c>
      <c r="D186" s="131">
        <v>5</v>
      </c>
      <c r="E186" s="131">
        <v>6</v>
      </c>
      <c r="F186" s="131">
        <v>7</v>
      </c>
      <c r="G186" s="131">
        <v>8</v>
      </c>
      <c r="H186" s="131">
        <v>9</v>
      </c>
      <c r="I186" s="132">
        <v>10</v>
      </c>
      <c r="O186" s="100"/>
    </row>
    <row r="187" spans="1:15" ht="15.75" thickBot="1" x14ac:dyDescent="0.3">
      <c r="B187" s="167" t="s">
        <v>448</v>
      </c>
      <c r="C187" s="166">
        <v>10</v>
      </c>
      <c r="D187" s="137">
        <v>12</v>
      </c>
      <c r="E187" s="137">
        <v>14</v>
      </c>
      <c r="F187" s="137">
        <v>16</v>
      </c>
      <c r="G187" s="137">
        <v>17</v>
      </c>
      <c r="H187" s="137">
        <v>18</v>
      </c>
      <c r="I187" s="138">
        <v>20</v>
      </c>
      <c r="O187" s="100"/>
    </row>
    <row r="188" spans="1:15" x14ac:dyDescent="0.25">
      <c r="B188" s="140" t="s">
        <v>436</v>
      </c>
      <c r="C188" s="140"/>
      <c r="O188" s="100"/>
    </row>
    <row r="189" spans="1:15" x14ac:dyDescent="0.25">
      <c r="O189" s="100"/>
    </row>
    <row r="190" spans="1:15" x14ac:dyDescent="0.25">
      <c r="A190" s="155">
        <v>2</v>
      </c>
      <c r="B190" t="s">
        <v>449</v>
      </c>
      <c r="O190" s="100"/>
    </row>
    <row r="191" spans="1:15" x14ac:dyDescent="0.25">
      <c r="A191" s="155"/>
      <c r="O191" s="100"/>
    </row>
    <row r="192" spans="1:15" x14ac:dyDescent="0.25">
      <c r="A192" s="155">
        <v>3</v>
      </c>
      <c r="B192" t="s">
        <v>450</v>
      </c>
      <c r="O192" s="100"/>
    </row>
    <row r="193" spans="1:15" x14ac:dyDescent="0.25">
      <c r="A193" s="155"/>
      <c r="O193" s="100"/>
    </row>
    <row r="194" spans="1:15" x14ac:dyDescent="0.25">
      <c r="A194" s="155">
        <v>4</v>
      </c>
      <c r="B194" t="s">
        <v>451</v>
      </c>
      <c r="O194" s="100"/>
    </row>
    <row r="195" spans="1:15" x14ac:dyDescent="0.25">
      <c r="A195" s="155"/>
      <c r="O195" s="100"/>
    </row>
    <row r="196" spans="1:15" x14ac:dyDescent="0.25">
      <c r="A196" s="155">
        <v>5</v>
      </c>
      <c r="B196" t="s">
        <v>452</v>
      </c>
      <c r="O196" s="100"/>
    </row>
    <row r="197" spans="1:15" x14ac:dyDescent="0.25">
      <c r="A197" s="155"/>
      <c r="B197" t="s">
        <v>234</v>
      </c>
      <c r="O197" s="100"/>
    </row>
    <row r="198" spans="1:15" x14ac:dyDescent="0.25">
      <c r="A198" s="155"/>
      <c r="O198" s="100"/>
    </row>
    <row r="199" spans="1:15" x14ac:dyDescent="0.25">
      <c r="A199" s="155">
        <v>6</v>
      </c>
      <c r="B199" t="s">
        <v>446</v>
      </c>
      <c r="O199" s="100"/>
    </row>
    <row r="200" spans="1:15" x14ac:dyDescent="0.25">
      <c r="B200" t="s">
        <v>197</v>
      </c>
      <c r="O200" s="100"/>
    </row>
    <row r="201" spans="1:15" x14ac:dyDescent="0.25">
      <c r="O201" s="100"/>
    </row>
    <row r="202" spans="1:15" ht="18.75" x14ac:dyDescent="0.3">
      <c r="A202" s="152" t="s">
        <v>235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</row>
    <row r="203" spans="1:15" x14ac:dyDescent="0.25">
      <c r="A203" s="231" t="s">
        <v>236</v>
      </c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</row>
    <row r="204" spans="1:15" x14ac:dyDescent="0.25">
      <c r="O204" s="100"/>
    </row>
    <row r="205" spans="1:15" x14ac:dyDescent="0.25">
      <c r="A205" s="155">
        <v>1</v>
      </c>
      <c r="B205" t="s">
        <v>453</v>
      </c>
      <c r="O205" s="100"/>
    </row>
    <row r="206" spans="1:15" x14ac:dyDescent="0.25">
      <c r="A206" s="155"/>
      <c r="O206" s="100"/>
    </row>
    <row r="207" spans="1:15" x14ac:dyDescent="0.25">
      <c r="A207" s="155">
        <v>2</v>
      </c>
      <c r="B207" t="s">
        <v>454</v>
      </c>
      <c r="O207" s="100"/>
    </row>
    <row r="208" spans="1:15" x14ac:dyDescent="0.25">
      <c r="A208" s="99" t="s">
        <v>160</v>
      </c>
      <c r="B208" t="s">
        <v>455</v>
      </c>
      <c r="O208" s="100"/>
    </row>
    <row r="209" spans="1:15" x14ac:dyDescent="0.25">
      <c r="A209" s="99" t="s">
        <v>162</v>
      </c>
      <c r="B209" t="s">
        <v>456</v>
      </c>
      <c r="O209" s="100"/>
    </row>
    <row r="210" spans="1:15" x14ac:dyDescent="0.25">
      <c r="A210" s="99" t="s">
        <v>164</v>
      </c>
      <c r="B210" t="s">
        <v>457</v>
      </c>
      <c r="O210" s="100"/>
    </row>
    <row r="211" spans="1:15" x14ac:dyDescent="0.25">
      <c r="B211" t="s">
        <v>237</v>
      </c>
      <c r="O211" s="100"/>
    </row>
    <row r="212" spans="1:15" x14ac:dyDescent="0.25">
      <c r="O212" s="100"/>
    </row>
    <row r="213" spans="1:15" x14ac:dyDescent="0.25">
      <c r="A213" s="155">
        <v>3</v>
      </c>
      <c r="B213" t="s">
        <v>458</v>
      </c>
      <c r="O213" s="100"/>
    </row>
    <row r="214" spans="1:15" x14ac:dyDescent="0.25">
      <c r="A214" s="155"/>
      <c r="O214" s="100"/>
    </row>
    <row r="215" spans="1:15" x14ac:dyDescent="0.25">
      <c r="A215" s="155">
        <v>4</v>
      </c>
      <c r="B215" t="s">
        <v>459</v>
      </c>
      <c r="O215" s="100"/>
    </row>
    <row r="216" spans="1:15" x14ac:dyDescent="0.25">
      <c r="O216" s="100"/>
    </row>
    <row r="217" spans="1:15" ht="18.75" x14ac:dyDescent="0.3">
      <c r="A217" s="152" t="s">
        <v>238</v>
      </c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</row>
    <row r="218" spans="1:15" x14ac:dyDescent="0.25">
      <c r="A218" s="231" t="s">
        <v>239</v>
      </c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</row>
    <row r="219" spans="1:15" x14ac:dyDescent="0.25">
      <c r="O219" s="100"/>
    </row>
    <row r="220" spans="1:15" x14ac:dyDescent="0.25">
      <c r="A220" s="155">
        <v>1</v>
      </c>
      <c r="B220" t="s">
        <v>460</v>
      </c>
      <c r="O220" s="100"/>
    </row>
    <row r="221" spans="1:15" ht="15.75" thickBot="1" x14ac:dyDescent="0.3">
      <c r="O221" s="100"/>
    </row>
    <row r="222" spans="1:15" x14ac:dyDescent="0.25">
      <c r="B222" s="172" t="s">
        <v>524</v>
      </c>
      <c r="C222" s="173"/>
      <c r="D222" s="183" t="s">
        <v>16</v>
      </c>
      <c r="E222" s="174">
        <v>11</v>
      </c>
      <c r="F222" s="174">
        <v>12</v>
      </c>
      <c r="G222" s="174">
        <v>13</v>
      </c>
      <c r="H222" s="174">
        <v>14</v>
      </c>
      <c r="I222" s="174">
        <v>15</v>
      </c>
      <c r="J222" s="174">
        <v>16</v>
      </c>
      <c r="K222" s="174">
        <v>17</v>
      </c>
      <c r="L222" s="175">
        <v>18</v>
      </c>
      <c r="O222" s="100"/>
    </row>
    <row r="223" spans="1:15" x14ac:dyDescent="0.25">
      <c r="B223" s="123" t="s">
        <v>525</v>
      </c>
      <c r="C223" s="171"/>
      <c r="D223" s="181" t="s">
        <v>461</v>
      </c>
      <c r="E223" s="18">
        <v>160</v>
      </c>
      <c r="F223" s="18">
        <v>172</v>
      </c>
      <c r="G223" s="18">
        <v>185</v>
      </c>
      <c r="H223" s="18">
        <v>200</v>
      </c>
      <c r="I223" s="18">
        <v>220</v>
      </c>
      <c r="J223" s="18">
        <v>244</v>
      </c>
      <c r="K223" s="18">
        <v>269</v>
      </c>
      <c r="L223" s="176">
        <v>294</v>
      </c>
      <c r="O223" s="100"/>
    </row>
    <row r="224" spans="1:15" x14ac:dyDescent="0.25">
      <c r="B224" s="123" t="s">
        <v>526</v>
      </c>
      <c r="C224" s="171"/>
      <c r="D224" s="181" t="s">
        <v>461</v>
      </c>
      <c r="E224" s="18">
        <v>255</v>
      </c>
      <c r="F224" s="18">
        <v>415</v>
      </c>
      <c r="G224" s="18">
        <v>450</v>
      </c>
      <c r="H224" s="18">
        <v>485</v>
      </c>
      <c r="I224" s="18">
        <v>525</v>
      </c>
      <c r="J224" s="18">
        <v>540</v>
      </c>
      <c r="K224" s="18">
        <v>630</v>
      </c>
      <c r="L224" s="176">
        <v>720</v>
      </c>
      <c r="O224" s="100"/>
    </row>
    <row r="225" spans="1:15" x14ac:dyDescent="0.25">
      <c r="B225" s="123" t="s">
        <v>527</v>
      </c>
      <c r="C225" s="171"/>
      <c r="D225" s="182"/>
      <c r="E225" s="18">
        <v>3</v>
      </c>
      <c r="F225" s="18">
        <v>3</v>
      </c>
      <c r="G225" s="18">
        <v>3</v>
      </c>
      <c r="H225" s="18">
        <v>3</v>
      </c>
      <c r="I225" s="18">
        <v>3</v>
      </c>
      <c r="J225" s="18">
        <v>3</v>
      </c>
      <c r="K225" s="18">
        <v>4</v>
      </c>
      <c r="L225" s="176">
        <v>4</v>
      </c>
      <c r="O225" s="100"/>
    </row>
    <row r="226" spans="1:15" ht="15.75" thickBot="1" x14ac:dyDescent="0.3">
      <c r="B226" s="177" t="s">
        <v>462</v>
      </c>
      <c r="C226" s="178"/>
      <c r="D226" s="184"/>
      <c r="E226" s="179"/>
      <c r="F226" s="179"/>
      <c r="G226" s="179"/>
      <c r="H226" s="179"/>
      <c r="I226" s="179"/>
      <c r="J226" s="179"/>
      <c r="K226" s="179"/>
      <c r="L226" s="180"/>
      <c r="O226" s="100"/>
    </row>
    <row r="227" spans="1:15" x14ac:dyDescent="0.25">
      <c r="B227" s="170" t="s">
        <v>463</v>
      </c>
      <c r="O227" s="100"/>
    </row>
    <row r="228" spans="1:15" x14ac:dyDescent="0.25">
      <c r="O228" s="100"/>
    </row>
    <row r="229" spans="1:15" x14ac:dyDescent="0.25">
      <c r="A229" s="155">
        <v>2</v>
      </c>
      <c r="B229" t="s">
        <v>464</v>
      </c>
      <c r="O229" s="100"/>
    </row>
    <row r="230" spans="1:15" x14ac:dyDescent="0.25">
      <c r="B230" t="s">
        <v>240</v>
      </c>
      <c r="O230" s="100"/>
    </row>
    <row r="231" spans="1:15" ht="15.75" thickBot="1" x14ac:dyDescent="0.3">
      <c r="O231" s="100"/>
    </row>
    <row r="232" spans="1:15" x14ac:dyDescent="0.25">
      <c r="B232" s="172" t="s">
        <v>465</v>
      </c>
      <c r="C232" s="173"/>
      <c r="D232" s="183" t="s">
        <v>16</v>
      </c>
      <c r="E232" s="174" t="s">
        <v>466</v>
      </c>
      <c r="F232" s="174" t="s">
        <v>467</v>
      </c>
      <c r="G232" s="175" t="s">
        <v>468</v>
      </c>
      <c r="O232" s="100"/>
    </row>
    <row r="233" spans="1:15" x14ac:dyDescent="0.25">
      <c r="B233" s="123" t="s">
        <v>469</v>
      </c>
      <c r="C233" s="171"/>
      <c r="D233" s="181" t="s">
        <v>461</v>
      </c>
      <c r="E233" s="18">
        <v>89</v>
      </c>
      <c r="F233" s="18">
        <v>119</v>
      </c>
      <c r="G233" s="176">
        <v>159</v>
      </c>
      <c r="O233" s="100"/>
    </row>
    <row r="234" spans="1:15" x14ac:dyDescent="0.25">
      <c r="B234" s="123" t="s">
        <v>626</v>
      </c>
      <c r="C234" s="171"/>
      <c r="D234" s="181" t="s">
        <v>461</v>
      </c>
      <c r="E234" s="18">
        <v>89</v>
      </c>
      <c r="F234" s="18">
        <v>119</v>
      </c>
      <c r="G234" s="176">
        <v>159</v>
      </c>
      <c r="O234" s="100"/>
    </row>
    <row r="235" spans="1:15" x14ac:dyDescent="0.25">
      <c r="B235" s="123" t="s">
        <v>470</v>
      </c>
      <c r="C235" s="171"/>
      <c r="D235" s="181" t="s">
        <v>16</v>
      </c>
      <c r="E235" s="18" t="s">
        <v>471</v>
      </c>
      <c r="F235" s="330" t="s">
        <v>627</v>
      </c>
      <c r="G235" s="176" t="s">
        <v>472</v>
      </c>
      <c r="O235" s="100"/>
    </row>
    <row r="236" spans="1:15" x14ac:dyDescent="0.25">
      <c r="B236" s="123" t="s">
        <v>473</v>
      </c>
      <c r="C236" s="171"/>
      <c r="D236" s="181" t="s">
        <v>461</v>
      </c>
      <c r="E236" s="18">
        <v>58</v>
      </c>
      <c r="F236" s="18">
        <v>89</v>
      </c>
      <c r="G236" s="176">
        <v>119</v>
      </c>
      <c r="O236" s="100"/>
    </row>
    <row r="237" spans="1:15" x14ac:dyDescent="0.25">
      <c r="B237" s="123" t="s">
        <v>474</v>
      </c>
      <c r="C237" s="171"/>
      <c r="D237" s="181" t="s">
        <v>16</v>
      </c>
      <c r="E237" s="18" t="s">
        <v>475</v>
      </c>
      <c r="F237" s="330" t="s">
        <v>628</v>
      </c>
      <c r="G237" s="176" t="s">
        <v>476</v>
      </c>
      <c r="O237" s="100"/>
    </row>
    <row r="238" spans="1:15" ht="15.75" thickBot="1" x14ac:dyDescent="0.3">
      <c r="B238" s="177" t="s">
        <v>477</v>
      </c>
      <c r="C238" s="178"/>
      <c r="D238" s="185" t="s">
        <v>461</v>
      </c>
      <c r="E238" s="179">
        <v>58</v>
      </c>
      <c r="F238" s="179">
        <v>89</v>
      </c>
      <c r="G238" s="180">
        <v>119</v>
      </c>
      <c r="O238" s="100"/>
    </row>
    <row r="239" spans="1:15" x14ac:dyDescent="0.25">
      <c r="B239" s="170" t="s">
        <v>463</v>
      </c>
      <c r="O239" s="100"/>
    </row>
    <row r="240" spans="1:15" x14ac:dyDescent="0.25">
      <c r="O240" s="100"/>
    </row>
    <row r="241" spans="1:15" x14ac:dyDescent="0.25">
      <c r="A241" s="155">
        <v>3</v>
      </c>
      <c r="B241" t="s">
        <v>478</v>
      </c>
      <c r="O241" s="100"/>
    </row>
    <row r="242" spans="1:15" x14ac:dyDescent="0.25">
      <c r="A242" s="155"/>
      <c r="B242" t="s">
        <v>241</v>
      </c>
      <c r="O242" s="100"/>
    </row>
    <row r="243" spans="1:15" x14ac:dyDescent="0.25">
      <c r="A243" s="155"/>
      <c r="B243" t="s">
        <v>242</v>
      </c>
      <c r="O243" s="100"/>
    </row>
    <row r="244" spans="1:15" x14ac:dyDescent="0.25">
      <c r="A244" s="155"/>
      <c r="B244" t="s">
        <v>243</v>
      </c>
      <c r="O244" s="100"/>
    </row>
    <row r="245" spans="1:15" x14ac:dyDescent="0.25">
      <c r="A245" s="155"/>
      <c r="B245" t="s">
        <v>244</v>
      </c>
      <c r="O245" s="100"/>
    </row>
    <row r="246" spans="1:15" x14ac:dyDescent="0.25">
      <c r="A246" s="155"/>
      <c r="O246" s="100"/>
    </row>
    <row r="247" spans="1:15" x14ac:dyDescent="0.25">
      <c r="A247" s="155">
        <v>4</v>
      </c>
      <c r="B247" t="s">
        <v>479</v>
      </c>
      <c r="O247" s="100"/>
    </row>
    <row r="248" spans="1:15" x14ac:dyDescent="0.25">
      <c r="A248" s="155"/>
      <c r="B248" t="s">
        <v>245</v>
      </c>
      <c r="O248" s="100"/>
    </row>
    <row r="249" spans="1:15" x14ac:dyDescent="0.25">
      <c r="A249" s="155"/>
      <c r="O249" s="100"/>
    </row>
    <row r="250" spans="1:15" x14ac:dyDescent="0.25">
      <c r="A250" s="155">
        <v>5</v>
      </c>
      <c r="B250" t="s">
        <v>480</v>
      </c>
      <c r="O250" s="100"/>
    </row>
    <row r="251" spans="1:15" x14ac:dyDescent="0.25">
      <c r="A251" s="155"/>
      <c r="O251" s="100"/>
    </row>
    <row r="252" spans="1:15" x14ac:dyDescent="0.25">
      <c r="A252" s="155">
        <v>6</v>
      </c>
      <c r="B252" t="s">
        <v>481</v>
      </c>
      <c r="O252" s="100"/>
    </row>
    <row r="253" spans="1:15" x14ac:dyDescent="0.25">
      <c r="A253" s="155"/>
      <c r="O253" s="100"/>
    </row>
    <row r="254" spans="1:15" x14ac:dyDescent="0.25">
      <c r="A254" s="155">
        <v>7</v>
      </c>
      <c r="B254" t="s">
        <v>482</v>
      </c>
      <c r="O254" s="100"/>
    </row>
    <row r="255" spans="1:15" x14ac:dyDescent="0.25">
      <c r="A255" s="155"/>
      <c r="B255" t="s">
        <v>246</v>
      </c>
      <c r="O255" s="100"/>
    </row>
    <row r="256" spans="1:15" x14ac:dyDescent="0.25">
      <c r="A256" s="155"/>
      <c r="O256" s="100"/>
    </row>
    <row r="257" spans="1:15" x14ac:dyDescent="0.25">
      <c r="A257" s="155">
        <v>8</v>
      </c>
      <c r="B257" t="s">
        <v>483</v>
      </c>
      <c r="O257" s="100"/>
    </row>
    <row r="258" spans="1:15" x14ac:dyDescent="0.25">
      <c r="B258" t="s">
        <v>247</v>
      </c>
      <c r="O258" s="100"/>
    </row>
    <row r="259" spans="1:15" ht="15.75" thickBot="1" x14ac:dyDescent="0.3">
      <c r="O259" s="100"/>
    </row>
    <row r="260" spans="1:15" ht="45" x14ac:dyDescent="0.25">
      <c r="B260" s="186" t="s">
        <v>484</v>
      </c>
      <c r="C260" s="187"/>
      <c r="D260" s="187"/>
      <c r="E260" s="187"/>
      <c r="F260" s="187"/>
      <c r="G260" s="188" t="s">
        <v>528</v>
      </c>
      <c r="O260" s="100"/>
    </row>
    <row r="261" spans="1:15" x14ac:dyDescent="0.25">
      <c r="B261" s="616" t="s">
        <v>485</v>
      </c>
      <c r="C261" s="617"/>
      <c r="D261" s="617"/>
      <c r="E261" s="617"/>
      <c r="F261" s="617"/>
      <c r="G261" s="176">
        <v>20</v>
      </c>
      <c r="O261" s="100"/>
    </row>
    <row r="262" spans="1:15" x14ac:dyDescent="0.25">
      <c r="B262" s="616" t="s">
        <v>486</v>
      </c>
      <c r="C262" s="617"/>
      <c r="D262" s="617"/>
      <c r="E262" s="617"/>
      <c r="F262" s="617"/>
      <c r="G262" s="176">
        <v>35</v>
      </c>
      <c r="O262" s="100"/>
    </row>
    <row r="263" spans="1:15" ht="15.75" thickBot="1" x14ac:dyDescent="0.3">
      <c r="B263" s="618" t="s">
        <v>487</v>
      </c>
      <c r="C263" s="619"/>
      <c r="D263" s="619"/>
      <c r="E263" s="619"/>
      <c r="F263" s="619"/>
      <c r="G263" s="180">
        <v>60</v>
      </c>
      <c r="O263" s="100"/>
    </row>
    <row r="264" spans="1:15" x14ac:dyDescent="0.25">
      <c r="O264" s="100"/>
    </row>
    <row r="265" spans="1:15" x14ac:dyDescent="0.25">
      <c r="O265" s="100"/>
    </row>
    <row r="266" spans="1:15" ht="18.75" x14ac:dyDescent="0.3">
      <c r="A266" s="152" t="s">
        <v>248</v>
      </c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</row>
    <row r="267" spans="1:15" x14ac:dyDescent="0.25">
      <c r="A267" s="231" t="s">
        <v>249</v>
      </c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</row>
    <row r="268" spans="1:15" x14ac:dyDescent="0.25">
      <c r="O268" s="100"/>
    </row>
    <row r="269" spans="1:15" x14ac:dyDescent="0.25">
      <c r="A269" s="155">
        <v>1</v>
      </c>
      <c r="B269" t="s">
        <v>488</v>
      </c>
      <c r="O269" s="100"/>
    </row>
    <row r="270" spans="1:15" x14ac:dyDescent="0.25">
      <c r="B270" t="s">
        <v>250</v>
      </c>
      <c r="O270" s="100"/>
    </row>
    <row r="271" spans="1:15" x14ac:dyDescent="0.25">
      <c r="B271" t="s">
        <v>251</v>
      </c>
      <c r="O271" s="100"/>
    </row>
    <row r="272" spans="1:15" ht="15.75" thickBot="1" x14ac:dyDescent="0.3">
      <c r="O272" s="100"/>
    </row>
    <row r="273" spans="2:15" ht="27" x14ac:dyDescent="0.25">
      <c r="B273" s="193" t="s">
        <v>489</v>
      </c>
      <c r="C273" s="194" t="s">
        <v>490</v>
      </c>
      <c r="D273" s="194" t="s">
        <v>491</v>
      </c>
      <c r="E273" s="194" t="s">
        <v>492</v>
      </c>
      <c r="F273" s="195" t="s">
        <v>529</v>
      </c>
      <c r="O273" s="100"/>
    </row>
    <row r="274" spans="2:15" x14ac:dyDescent="0.25">
      <c r="B274" s="621" t="s">
        <v>252</v>
      </c>
      <c r="C274" s="624" t="s">
        <v>253</v>
      </c>
      <c r="D274" s="191" t="s">
        <v>493</v>
      </c>
      <c r="E274" s="191">
        <v>20</v>
      </c>
      <c r="F274" s="196">
        <v>6</v>
      </c>
      <c r="O274" s="100"/>
    </row>
    <row r="275" spans="2:15" x14ac:dyDescent="0.25">
      <c r="B275" s="622"/>
      <c r="C275" s="626"/>
      <c r="D275" s="191" t="s">
        <v>494</v>
      </c>
      <c r="E275" s="191">
        <v>38</v>
      </c>
      <c r="F275" s="196">
        <v>8</v>
      </c>
      <c r="O275" s="100"/>
    </row>
    <row r="276" spans="2:15" ht="38.25" x14ac:dyDescent="0.25">
      <c r="B276" s="633"/>
      <c r="C276" s="190" t="s">
        <v>495</v>
      </c>
      <c r="D276" s="627" t="s">
        <v>654</v>
      </c>
      <c r="E276" s="628"/>
      <c r="F276" s="629"/>
      <c r="O276" s="100"/>
    </row>
    <row r="277" spans="2:15" x14ac:dyDescent="0.25">
      <c r="B277" s="197" t="s">
        <v>254</v>
      </c>
      <c r="C277" s="624" t="s">
        <v>253</v>
      </c>
      <c r="D277" s="191" t="s">
        <v>496</v>
      </c>
      <c r="E277" s="191">
        <v>20</v>
      </c>
      <c r="F277" s="196">
        <v>6</v>
      </c>
      <c r="O277" s="100"/>
    </row>
    <row r="278" spans="2:15" x14ac:dyDescent="0.25">
      <c r="B278" s="198"/>
      <c r="C278" s="625"/>
      <c r="D278" s="191" t="s">
        <v>497</v>
      </c>
      <c r="E278" s="191">
        <v>30</v>
      </c>
      <c r="F278" s="196">
        <v>8</v>
      </c>
      <c r="O278" s="100"/>
    </row>
    <row r="279" spans="2:15" x14ac:dyDescent="0.25">
      <c r="B279" s="199" t="s">
        <v>255</v>
      </c>
      <c r="C279" s="625"/>
      <c r="D279" s="191" t="s">
        <v>498</v>
      </c>
      <c r="E279" s="191">
        <v>60</v>
      </c>
      <c r="F279" s="196">
        <v>10</v>
      </c>
      <c r="O279" s="100"/>
    </row>
    <row r="280" spans="2:15" x14ac:dyDescent="0.25">
      <c r="B280" s="198"/>
      <c r="C280" s="626"/>
      <c r="D280" s="191" t="s">
        <v>499</v>
      </c>
      <c r="E280" s="191">
        <v>80</v>
      </c>
      <c r="F280" s="196">
        <v>12</v>
      </c>
      <c r="O280" s="100"/>
    </row>
    <row r="281" spans="2:15" ht="41.25" customHeight="1" x14ac:dyDescent="0.25">
      <c r="B281" s="200"/>
      <c r="C281" s="190" t="s">
        <v>257</v>
      </c>
      <c r="D281" s="627" t="s">
        <v>653</v>
      </c>
      <c r="E281" s="628"/>
      <c r="F281" s="629"/>
      <c r="O281" s="100"/>
    </row>
    <row r="282" spans="2:15" x14ac:dyDescent="0.25">
      <c r="B282" s="621" t="s">
        <v>256</v>
      </c>
      <c r="C282" s="624" t="s">
        <v>257</v>
      </c>
      <c r="D282" s="192" t="s">
        <v>500</v>
      </c>
      <c r="E282" s="191">
        <v>14</v>
      </c>
      <c r="F282" s="201"/>
      <c r="O282" s="100"/>
    </row>
    <row r="283" spans="2:15" x14ac:dyDescent="0.25">
      <c r="B283" s="622"/>
      <c r="C283" s="626"/>
      <c r="D283" s="192" t="s">
        <v>501</v>
      </c>
      <c r="E283" s="191">
        <v>18</v>
      </c>
      <c r="F283" s="201"/>
      <c r="O283" s="100"/>
    </row>
    <row r="284" spans="2:15" ht="45" customHeight="1" x14ac:dyDescent="0.25">
      <c r="B284" s="633"/>
      <c r="C284" s="627" t="s">
        <v>502</v>
      </c>
      <c r="D284" s="628"/>
      <c r="E284" s="628"/>
      <c r="F284" s="629"/>
      <c r="O284" s="100"/>
    </row>
    <row r="285" spans="2:15" x14ac:dyDescent="0.25">
      <c r="B285" s="621" t="s">
        <v>258</v>
      </c>
      <c r="C285" s="624" t="s">
        <v>253</v>
      </c>
      <c r="D285" s="191" t="s">
        <v>503</v>
      </c>
      <c r="E285" s="191">
        <v>60</v>
      </c>
      <c r="F285" s="196">
        <v>10</v>
      </c>
      <c r="O285" s="100"/>
    </row>
    <row r="286" spans="2:15" x14ac:dyDescent="0.25">
      <c r="B286" s="622"/>
      <c r="C286" s="625"/>
      <c r="D286" s="191" t="s">
        <v>504</v>
      </c>
      <c r="E286" s="191">
        <v>85</v>
      </c>
      <c r="F286" s="196">
        <v>12</v>
      </c>
      <c r="O286" s="100"/>
    </row>
    <row r="287" spans="2:15" x14ac:dyDescent="0.25">
      <c r="B287" s="622"/>
      <c r="C287" s="625"/>
      <c r="D287" s="191" t="s">
        <v>505</v>
      </c>
      <c r="E287" s="191">
        <v>116</v>
      </c>
      <c r="F287" s="196">
        <v>14</v>
      </c>
      <c r="O287" s="100"/>
    </row>
    <row r="288" spans="2:15" ht="41.25" customHeight="1" x14ac:dyDescent="0.25">
      <c r="B288" s="622"/>
      <c r="C288" s="626"/>
      <c r="D288" s="627" t="s">
        <v>506</v>
      </c>
      <c r="E288" s="628"/>
      <c r="F288" s="629"/>
      <c r="O288" s="100"/>
    </row>
    <row r="289" spans="1:15" ht="51" customHeight="1" thickBot="1" x14ac:dyDescent="0.3">
      <c r="B289" s="623"/>
      <c r="C289" s="202" t="s">
        <v>257</v>
      </c>
      <c r="D289" s="630" t="s">
        <v>507</v>
      </c>
      <c r="E289" s="631"/>
      <c r="F289" s="632"/>
      <c r="O289" s="100"/>
    </row>
    <row r="290" spans="1:15" x14ac:dyDescent="0.25">
      <c r="B290" s="189"/>
      <c r="C290" s="189"/>
      <c r="D290" s="189"/>
      <c r="E290" s="189"/>
      <c r="F290" s="189"/>
      <c r="O290" s="100"/>
    </row>
    <row r="291" spans="1:15" x14ac:dyDescent="0.25">
      <c r="O291" s="100"/>
    </row>
    <row r="292" spans="1:15" x14ac:dyDescent="0.25">
      <c r="A292" s="155">
        <v>2</v>
      </c>
      <c r="B292" t="s">
        <v>508</v>
      </c>
      <c r="O292" s="100"/>
    </row>
    <row r="293" spans="1:15" x14ac:dyDescent="0.25">
      <c r="A293" s="155"/>
      <c r="B293" t="s">
        <v>259</v>
      </c>
      <c r="O293" s="100"/>
    </row>
    <row r="294" spans="1:15" x14ac:dyDescent="0.25">
      <c r="A294" s="155"/>
      <c r="O294" s="100"/>
    </row>
    <row r="295" spans="1:15" x14ac:dyDescent="0.25">
      <c r="A295" s="155">
        <v>3</v>
      </c>
      <c r="B295" t="s">
        <v>509</v>
      </c>
      <c r="O295" s="100"/>
    </row>
    <row r="296" spans="1:15" x14ac:dyDescent="0.25">
      <c r="B296" t="s">
        <v>260</v>
      </c>
      <c r="O296" s="100"/>
    </row>
    <row r="297" spans="1:15" x14ac:dyDescent="0.25">
      <c r="O297" s="100"/>
    </row>
    <row r="298" spans="1:15" x14ac:dyDescent="0.25">
      <c r="B298" t="s">
        <v>261</v>
      </c>
      <c r="O298" s="100"/>
    </row>
    <row r="299" spans="1:15" x14ac:dyDescent="0.25">
      <c r="O299" s="100"/>
    </row>
    <row r="300" spans="1:15" ht="18.75" x14ac:dyDescent="0.3">
      <c r="A300" s="152" t="s">
        <v>262</v>
      </c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</row>
    <row r="301" spans="1:15" x14ac:dyDescent="0.25">
      <c r="A301" s="231" t="s">
        <v>263</v>
      </c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</row>
    <row r="302" spans="1:15" ht="15.75" thickBot="1" x14ac:dyDescent="0.3">
      <c r="O302" s="100"/>
    </row>
    <row r="303" spans="1:15" ht="25.5" x14ac:dyDescent="0.25">
      <c r="B303" s="218" t="s">
        <v>510</v>
      </c>
      <c r="C303" s="221" t="s">
        <v>311</v>
      </c>
      <c r="D303" s="213">
        <v>6</v>
      </c>
      <c r="E303" s="213">
        <v>7</v>
      </c>
      <c r="F303" s="213">
        <v>8</v>
      </c>
      <c r="G303" s="213">
        <v>9</v>
      </c>
      <c r="H303" s="213">
        <v>10</v>
      </c>
      <c r="I303" s="213">
        <v>11</v>
      </c>
      <c r="J303" s="214">
        <v>12</v>
      </c>
      <c r="O303" s="100"/>
    </row>
    <row r="304" spans="1:15" x14ac:dyDescent="0.25">
      <c r="B304" s="219" t="s">
        <v>511</v>
      </c>
      <c r="C304" s="222" t="s">
        <v>311</v>
      </c>
      <c r="D304" s="212">
        <v>16</v>
      </c>
      <c r="E304" s="212">
        <v>18</v>
      </c>
      <c r="F304" s="212">
        <v>20</v>
      </c>
      <c r="G304" s="212">
        <v>22</v>
      </c>
      <c r="H304" s="212">
        <v>24</v>
      </c>
      <c r="I304" s="212">
        <v>26</v>
      </c>
      <c r="J304" s="215">
        <v>28</v>
      </c>
      <c r="O304" s="100"/>
    </row>
    <row r="305" spans="1:15" ht="26.25" thickBot="1" x14ac:dyDescent="0.3">
      <c r="B305" s="220" t="s">
        <v>512</v>
      </c>
      <c r="C305" s="223" t="s">
        <v>311</v>
      </c>
      <c r="D305" s="216">
        <v>100</v>
      </c>
      <c r="E305" s="216">
        <v>110</v>
      </c>
      <c r="F305" s="216">
        <v>120</v>
      </c>
      <c r="G305" s="216">
        <v>130</v>
      </c>
      <c r="H305" s="216">
        <v>145</v>
      </c>
      <c r="I305" s="216">
        <v>155</v>
      </c>
      <c r="J305" s="217">
        <v>165</v>
      </c>
      <c r="O305" s="100"/>
    </row>
    <row r="306" spans="1:15" x14ac:dyDescent="0.25">
      <c r="O306" s="100"/>
    </row>
    <row r="307" spans="1:15" x14ac:dyDescent="0.25">
      <c r="A307" s="155">
        <v>2</v>
      </c>
      <c r="B307" t="s">
        <v>513</v>
      </c>
      <c r="O307" s="100"/>
    </row>
    <row r="308" spans="1:15" x14ac:dyDescent="0.25">
      <c r="A308" s="155"/>
      <c r="B308" t="s">
        <v>264</v>
      </c>
      <c r="O308" s="100"/>
    </row>
    <row r="309" spans="1:15" x14ac:dyDescent="0.25">
      <c r="A309" s="155"/>
      <c r="O309" s="100"/>
    </row>
    <row r="310" spans="1:15" x14ac:dyDescent="0.25">
      <c r="A310" s="155">
        <v>3</v>
      </c>
      <c r="B310" t="s">
        <v>514</v>
      </c>
      <c r="O310" s="100"/>
    </row>
    <row r="311" spans="1:15" x14ac:dyDescent="0.25">
      <c r="A311" s="155"/>
      <c r="B311" t="s">
        <v>265</v>
      </c>
      <c r="O311" s="100"/>
    </row>
    <row r="312" spans="1:15" x14ac:dyDescent="0.25">
      <c r="A312" s="155"/>
      <c r="B312" t="s">
        <v>266</v>
      </c>
      <c r="O312" s="100"/>
    </row>
    <row r="313" spans="1:15" x14ac:dyDescent="0.25">
      <c r="A313" s="155"/>
      <c r="O313" s="100"/>
    </row>
    <row r="314" spans="1:15" x14ac:dyDescent="0.25">
      <c r="A314" s="155">
        <v>4</v>
      </c>
      <c r="B314" t="s">
        <v>515</v>
      </c>
      <c r="O314" s="100"/>
    </row>
    <row r="315" spans="1:15" x14ac:dyDescent="0.25">
      <c r="A315" s="155"/>
      <c r="O315" s="100"/>
    </row>
    <row r="316" spans="1:15" x14ac:dyDescent="0.25">
      <c r="A316" s="155">
        <v>5</v>
      </c>
      <c r="B316" t="s">
        <v>516</v>
      </c>
      <c r="O316" s="100"/>
    </row>
    <row r="317" spans="1:15" x14ac:dyDescent="0.25">
      <c r="A317" s="155"/>
      <c r="O317" s="100"/>
    </row>
    <row r="318" spans="1:15" x14ac:dyDescent="0.25">
      <c r="A318" s="155">
        <v>6</v>
      </c>
      <c r="B318" t="s">
        <v>517</v>
      </c>
      <c r="O318" s="100"/>
    </row>
    <row r="319" spans="1:15" x14ac:dyDescent="0.25">
      <c r="A319" s="155"/>
      <c r="B319" t="s">
        <v>267</v>
      </c>
      <c r="O319" s="100"/>
    </row>
    <row r="320" spans="1:15" x14ac:dyDescent="0.25">
      <c r="A320" s="155"/>
      <c r="O320" s="100"/>
    </row>
    <row r="321" spans="1:15" x14ac:dyDescent="0.25">
      <c r="A321" s="155">
        <v>7</v>
      </c>
      <c r="B321" t="s">
        <v>518</v>
      </c>
      <c r="O321" s="100"/>
    </row>
    <row r="322" spans="1:15" x14ac:dyDescent="0.25">
      <c r="A322" s="155"/>
      <c r="B322" t="s">
        <v>268</v>
      </c>
      <c r="O322" s="100"/>
    </row>
    <row r="323" spans="1:15" x14ac:dyDescent="0.25">
      <c r="O323" s="100"/>
    </row>
    <row r="324" spans="1:15" ht="18.75" x14ac:dyDescent="0.3">
      <c r="A324" s="152" t="s">
        <v>269</v>
      </c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</row>
    <row r="325" spans="1:15" x14ac:dyDescent="0.25">
      <c r="A325" s="231" t="s">
        <v>270</v>
      </c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</row>
    <row r="326" spans="1:15" x14ac:dyDescent="0.25">
      <c r="A326" s="147"/>
      <c r="O326" s="100"/>
    </row>
    <row r="327" spans="1:15" x14ac:dyDescent="0.25">
      <c r="A327" s="155">
        <v>1</v>
      </c>
      <c r="B327" t="s">
        <v>519</v>
      </c>
      <c r="O327" s="100"/>
    </row>
    <row r="328" spans="1:15" x14ac:dyDescent="0.25">
      <c r="A328" s="155"/>
      <c r="O328" s="100"/>
    </row>
    <row r="329" spans="1:15" x14ac:dyDescent="0.25">
      <c r="A329" s="155">
        <v>2</v>
      </c>
      <c r="B329" t="s">
        <v>520</v>
      </c>
      <c r="O329" s="100"/>
    </row>
    <row r="330" spans="1:15" x14ac:dyDescent="0.25">
      <c r="O330" s="100"/>
    </row>
    <row r="331" spans="1:15" ht="18.75" x14ac:dyDescent="0.3">
      <c r="A331" s="152" t="s">
        <v>271</v>
      </c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</row>
    <row r="332" spans="1:15" x14ac:dyDescent="0.25">
      <c r="A332" s="231" t="s">
        <v>272</v>
      </c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</row>
    <row r="333" spans="1:15" x14ac:dyDescent="0.25">
      <c r="O333" s="100"/>
    </row>
    <row r="334" spans="1:15" x14ac:dyDescent="0.25">
      <c r="A334" s="155">
        <v>1</v>
      </c>
      <c r="B334" t="s">
        <v>521</v>
      </c>
      <c r="O334" s="100"/>
    </row>
    <row r="335" spans="1:15" x14ac:dyDescent="0.25">
      <c r="A335" s="155"/>
      <c r="B335" t="s">
        <v>273</v>
      </c>
      <c r="O335" s="100"/>
    </row>
    <row r="336" spans="1:15" x14ac:dyDescent="0.25">
      <c r="A336" s="155"/>
      <c r="O336" s="100"/>
    </row>
    <row r="337" spans="1:15" x14ac:dyDescent="0.25">
      <c r="A337" s="155">
        <v>2</v>
      </c>
      <c r="B337" t="s">
        <v>522</v>
      </c>
      <c r="O337" s="100"/>
    </row>
    <row r="338" spans="1:15" x14ac:dyDescent="0.25">
      <c r="A338" s="155"/>
      <c r="B338" t="s">
        <v>274</v>
      </c>
      <c r="O338" s="100"/>
    </row>
    <row r="339" spans="1:15" x14ac:dyDescent="0.25">
      <c r="A339" s="155"/>
      <c r="B339" t="s">
        <v>275</v>
      </c>
      <c r="O339" s="100"/>
    </row>
    <row r="340" spans="1:15" x14ac:dyDescent="0.25">
      <c r="A340" s="155"/>
      <c r="O340" s="100"/>
    </row>
    <row r="341" spans="1:15" x14ac:dyDescent="0.25">
      <c r="A341" s="155">
        <v>3</v>
      </c>
      <c r="B341" t="s">
        <v>523</v>
      </c>
      <c r="O341" s="100"/>
    </row>
    <row r="342" spans="1:15" x14ac:dyDescent="0.25">
      <c r="O342" s="100"/>
    </row>
    <row r="343" spans="1:15" ht="18.75" x14ac:dyDescent="0.3">
      <c r="A343" s="152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</row>
    <row r="344" spans="1:15" ht="18.75" x14ac:dyDescent="0.3">
      <c r="A344" s="152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</row>
  </sheetData>
  <mergeCells count="17">
    <mergeCell ref="B285:B289"/>
    <mergeCell ref="C285:C288"/>
    <mergeCell ref="D288:F288"/>
    <mergeCell ref="D289:F289"/>
    <mergeCell ref="B274:B276"/>
    <mergeCell ref="C274:C275"/>
    <mergeCell ref="D276:F276"/>
    <mergeCell ref="C277:C280"/>
    <mergeCell ref="D281:F281"/>
    <mergeCell ref="B282:B284"/>
    <mergeCell ref="C282:C283"/>
    <mergeCell ref="C284:F284"/>
    <mergeCell ref="B262:F262"/>
    <mergeCell ref="B263:F263"/>
    <mergeCell ref="B147:N147"/>
    <mergeCell ref="B159:N159"/>
    <mergeCell ref="B261:F261"/>
  </mergeCells>
  <hyperlinks>
    <hyperlink ref="E1" location="Schip!A1" display="Schip!A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</sheetPr>
  <dimension ref="A1:U923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6384" width="8.85546875" style="320"/>
  </cols>
  <sheetData>
    <row r="1" spans="1:21" ht="28.5" x14ac:dyDescent="0.45">
      <c r="A1" s="323" t="s">
        <v>622</v>
      </c>
      <c r="F1"/>
      <c r="G1" s="160" t="s">
        <v>594</v>
      </c>
      <c r="H1" s="277" t="s">
        <v>573</v>
      </c>
    </row>
    <row r="3" spans="1:21" x14ac:dyDescent="0.25">
      <c r="C3" s="319"/>
    </row>
    <row r="4" spans="1:21" ht="127.5" x14ac:dyDescent="1.85">
      <c r="C4" s="319"/>
      <c r="P4" s="321" t="s">
        <v>610</v>
      </c>
      <c r="Q4" s="322"/>
      <c r="R4" s="322"/>
      <c r="S4" s="322"/>
      <c r="T4" s="322"/>
      <c r="U4" s="322"/>
    </row>
    <row r="5" spans="1:21" x14ac:dyDescent="0.25">
      <c r="C5" s="319"/>
    </row>
    <row r="6" spans="1:21" x14ac:dyDescent="0.25">
      <c r="C6" s="319"/>
    </row>
    <row r="7" spans="1:21" x14ac:dyDescent="0.25">
      <c r="C7" s="319"/>
    </row>
    <row r="8" spans="1:21" x14ac:dyDescent="0.25">
      <c r="C8" s="319"/>
    </row>
    <row r="9" spans="1:21" x14ac:dyDescent="0.25">
      <c r="C9" s="319"/>
    </row>
    <row r="10" spans="1:21" x14ac:dyDescent="0.25">
      <c r="C10" s="319"/>
    </row>
    <row r="11" spans="1:21" x14ac:dyDescent="0.25">
      <c r="C11" s="319"/>
    </row>
    <row r="12" spans="1:21" x14ac:dyDescent="0.25">
      <c r="C12" s="319"/>
    </row>
    <row r="13" spans="1:21" x14ac:dyDescent="0.25">
      <c r="C13" s="319"/>
    </row>
    <row r="14" spans="1:21" x14ac:dyDescent="0.25">
      <c r="C14" s="319"/>
    </row>
    <row r="15" spans="1:21" x14ac:dyDescent="0.25">
      <c r="C15" s="319"/>
    </row>
    <row r="16" spans="1:21" x14ac:dyDescent="0.25">
      <c r="C16" s="319"/>
    </row>
    <row r="17" spans="3:21" x14ac:dyDescent="0.25">
      <c r="C17" s="319"/>
    </row>
    <row r="18" spans="3:21" x14ac:dyDescent="0.25">
      <c r="C18" s="319"/>
    </row>
    <row r="19" spans="3:21" x14ac:dyDescent="0.25">
      <c r="C19" s="319"/>
    </row>
    <row r="20" spans="3:21" x14ac:dyDescent="0.25">
      <c r="C20" s="319"/>
    </row>
    <row r="21" spans="3:21" x14ac:dyDescent="0.25">
      <c r="C21" s="319"/>
    </row>
    <row r="22" spans="3:21" x14ac:dyDescent="0.25">
      <c r="C22" s="319"/>
    </row>
    <row r="23" spans="3:21" x14ac:dyDescent="0.25">
      <c r="C23" s="319"/>
    </row>
    <row r="24" spans="3:21" x14ac:dyDescent="0.25">
      <c r="C24" s="319"/>
    </row>
    <row r="25" spans="3:21" ht="127.5" x14ac:dyDescent="1.85">
      <c r="C25" s="319"/>
      <c r="P25" s="321"/>
      <c r="Q25" s="322"/>
      <c r="R25" s="322"/>
      <c r="S25" s="322"/>
      <c r="T25" s="322"/>
      <c r="U25" s="322"/>
    </row>
    <row r="26" spans="3:21" x14ac:dyDescent="0.25">
      <c r="C26" s="319"/>
    </row>
    <row r="27" spans="3:21" x14ac:dyDescent="0.25">
      <c r="C27" s="319"/>
    </row>
    <row r="28" spans="3:21" x14ac:dyDescent="0.25">
      <c r="C28" s="319"/>
    </row>
    <row r="29" spans="3:21" x14ac:dyDescent="0.25">
      <c r="C29" s="319"/>
    </row>
    <row r="30" spans="3:21" x14ac:dyDescent="0.25">
      <c r="C30" s="319"/>
    </row>
    <row r="31" spans="3:21" x14ac:dyDescent="0.25">
      <c r="C31" s="319"/>
    </row>
    <row r="32" spans="3:21" x14ac:dyDescent="0.25">
      <c r="C32" s="319"/>
    </row>
    <row r="33" spans="3:21" x14ac:dyDescent="0.25">
      <c r="C33" s="319"/>
    </row>
    <row r="34" spans="3:21" x14ac:dyDescent="0.25">
      <c r="C34" s="319"/>
    </row>
    <row r="35" spans="3:21" x14ac:dyDescent="0.25">
      <c r="C35" s="319"/>
    </row>
    <row r="36" spans="3:21" x14ac:dyDescent="0.25">
      <c r="C36" s="319"/>
    </row>
    <row r="37" spans="3:21" x14ac:dyDescent="0.25">
      <c r="C37" s="319"/>
    </row>
    <row r="38" spans="3:21" x14ac:dyDescent="0.25">
      <c r="C38" s="319"/>
    </row>
    <row r="39" spans="3:21" x14ac:dyDescent="0.25">
      <c r="C39" s="319"/>
    </row>
    <row r="40" spans="3:21" x14ac:dyDescent="0.25">
      <c r="C40" s="319"/>
    </row>
    <row r="41" spans="3:21" x14ac:dyDescent="0.25">
      <c r="C41" s="319"/>
    </row>
    <row r="42" spans="3:21" x14ac:dyDescent="0.25">
      <c r="C42" s="319"/>
    </row>
    <row r="43" spans="3:21" x14ac:dyDescent="0.25">
      <c r="C43" s="319"/>
    </row>
    <row r="44" spans="3:21" x14ac:dyDescent="0.25">
      <c r="C44" s="319"/>
    </row>
    <row r="45" spans="3:21" x14ac:dyDescent="0.25">
      <c r="C45" s="319"/>
    </row>
    <row r="46" spans="3:21" ht="127.5" x14ac:dyDescent="1.85">
      <c r="C46" s="319"/>
      <c r="P46" s="321" t="s">
        <v>611</v>
      </c>
      <c r="Q46" s="322"/>
      <c r="R46" s="322"/>
      <c r="S46" s="322"/>
      <c r="T46" s="322"/>
      <c r="U46" s="322"/>
    </row>
    <row r="47" spans="3:21" x14ac:dyDescent="0.25">
      <c r="C47" s="319"/>
    </row>
    <row r="48" spans="3:21" x14ac:dyDescent="0.25">
      <c r="C48" s="319"/>
    </row>
    <row r="49" spans="3:3" x14ac:dyDescent="0.25">
      <c r="C49" s="319"/>
    </row>
    <row r="50" spans="3:3" x14ac:dyDescent="0.25">
      <c r="C50" s="319"/>
    </row>
    <row r="51" spans="3:3" x14ac:dyDescent="0.25">
      <c r="C51" s="319"/>
    </row>
    <row r="52" spans="3:3" x14ac:dyDescent="0.25">
      <c r="C52" s="319"/>
    </row>
    <row r="53" spans="3:3" x14ac:dyDescent="0.25">
      <c r="C53" s="319"/>
    </row>
    <row r="54" spans="3:3" x14ac:dyDescent="0.25">
      <c r="C54" s="319"/>
    </row>
    <row r="55" spans="3:3" x14ac:dyDescent="0.25">
      <c r="C55" s="319"/>
    </row>
    <row r="56" spans="3:3" x14ac:dyDescent="0.25">
      <c r="C56" s="319"/>
    </row>
    <row r="57" spans="3:3" x14ac:dyDescent="0.25">
      <c r="C57" s="319"/>
    </row>
    <row r="58" spans="3:3" x14ac:dyDescent="0.25">
      <c r="C58" s="319"/>
    </row>
    <row r="59" spans="3:3" x14ac:dyDescent="0.25">
      <c r="C59" s="319"/>
    </row>
    <row r="60" spans="3:3" x14ac:dyDescent="0.25">
      <c r="C60" s="319"/>
    </row>
    <row r="61" spans="3:3" x14ac:dyDescent="0.25">
      <c r="C61" s="319"/>
    </row>
    <row r="62" spans="3:3" x14ac:dyDescent="0.25">
      <c r="C62" s="319"/>
    </row>
    <row r="63" spans="3:3" x14ac:dyDescent="0.25">
      <c r="C63" s="319"/>
    </row>
    <row r="64" spans="3:3" x14ac:dyDescent="0.25">
      <c r="C64" s="319"/>
    </row>
    <row r="65" spans="3:3" x14ac:dyDescent="0.25">
      <c r="C65" s="319"/>
    </row>
    <row r="66" spans="3:3" x14ac:dyDescent="0.25">
      <c r="C66" s="319"/>
    </row>
    <row r="67" spans="3:3" x14ac:dyDescent="0.25">
      <c r="C67" s="319"/>
    </row>
    <row r="68" spans="3:3" x14ac:dyDescent="0.25">
      <c r="C68" s="319"/>
    </row>
    <row r="69" spans="3:3" x14ac:dyDescent="0.25">
      <c r="C69" s="319"/>
    </row>
    <row r="70" spans="3:3" x14ac:dyDescent="0.25">
      <c r="C70" s="319"/>
    </row>
    <row r="71" spans="3:3" x14ac:dyDescent="0.25">
      <c r="C71" s="319"/>
    </row>
    <row r="72" spans="3:3" x14ac:dyDescent="0.25">
      <c r="C72" s="319"/>
    </row>
    <row r="73" spans="3:3" x14ac:dyDescent="0.25">
      <c r="C73" s="319"/>
    </row>
    <row r="74" spans="3:3" x14ac:dyDescent="0.25">
      <c r="C74" s="319"/>
    </row>
    <row r="75" spans="3:3" x14ac:dyDescent="0.25">
      <c r="C75" s="319"/>
    </row>
    <row r="76" spans="3:3" x14ac:dyDescent="0.25">
      <c r="C76" s="319"/>
    </row>
    <row r="77" spans="3:3" x14ac:dyDescent="0.25">
      <c r="C77" s="319"/>
    </row>
    <row r="78" spans="3:3" x14ac:dyDescent="0.25">
      <c r="C78" s="319"/>
    </row>
    <row r="79" spans="3:3" x14ac:dyDescent="0.25">
      <c r="C79" s="319"/>
    </row>
    <row r="80" spans="3:3" x14ac:dyDescent="0.25">
      <c r="C80" s="319"/>
    </row>
    <row r="81" spans="3:3" x14ac:dyDescent="0.25">
      <c r="C81" s="319"/>
    </row>
    <row r="82" spans="3:3" x14ac:dyDescent="0.25">
      <c r="C82" s="319"/>
    </row>
    <row r="83" spans="3:3" x14ac:dyDescent="0.25">
      <c r="C83" s="319"/>
    </row>
    <row r="84" spans="3:3" x14ac:dyDescent="0.25">
      <c r="C84" s="319"/>
    </row>
    <row r="85" spans="3:3" x14ac:dyDescent="0.25">
      <c r="C85" s="319"/>
    </row>
    <row r="86" spans="3:3" x14ac:dyDescent="0.25">
      <c r="C86" s="319"/>
    </row>
    <row r="87" spans="3:3" x14ac:dyDescent="0.25">
      <c r="C87" s="319"/>
    </row>
    <row r="88" spans="3:3" x14ac:dyDescent="0.25">
      <c r="C88" s="319"/>
    </row>
    <row r="89" spans="3:3" x14ac:dyDescent="0.25">
      <c r="C89" s="319"/>
    </row>
    <row r="90" spans="3:3" x14ac:dyDescent="0.25">
      <c r="C90" s="319"/>
    </row>
    <row r="91" spans="3:3" x14ac:dyDescent="0.25">
      <c r="C91" s="319"/>
    </row>
    <row r="92" spans="3:3" x14ac:dyDescent="0.25">
      <c r="C92" s="319"/>
    </row>
    <row r="93" spans="3:3" x14ac:dyDescent="0.25">
      <c r="C93" s="319"/>
    </row>
    <row r="94" spans="3:3" x14ac:dyDescent="0.25">
      <c r="C94" s="319"/>
    </row>
    <row r="95" spans="3:3" x14ac:dyDescent="0.25">
      <c r="C95" s="319"/>
    </row>
    <row r="96" spans="3:3" x14ac:dyDescent="0.25">
      <c r="C96" s="319"/>
    </row>
    <row r="97" spans="3:16" ht="127.5" x14ac:dyDescent="1.85">
      <c r="C97" s="319"/>
      <c r="P97" s="321" t="s">
        <v>612</v>
      </c>
    </row>
    <row r="98" spans="3:16" x14ac:dyDescent="0.25">
      <c r="C98" s="319"/>
    </row>
    <row r="99" spans="3:16" x14ac:dyDescent="0.25">
      <c r="C99" s="319"/>
    </row>
    <row r="100" spans="3:16" x14ac:dyDescent="0.25">
      <c r="C100" s="319"/>
    </row>
    <row r="101" spans="3:16" x14ac:dyDescent="0.25">
      <c r="C101" s="319"/>
    </row>
    <row r="102" spans="3:16" x14ac:dyDescent="0.25">
      <c r="C102" s="319"/>
    </row>
    <row r="103" spans="3:16" x14ac:dyDescent="0.25">
      <c r="C103" s="319"/>
    </row>
    <row r="104" spans="3:16" x14ac:dyDescent="0.25">
      <c r="C104" s="319"/>
    </row>
    <row r="105" spans="3:16" x14ac:dyDescent="0.25">
      <c r="C105" s="319"/>
    </row>
    <row r="106" spans="3:16" x14ac:dyDescent="0.25">
      <c r="C106" s="319"/>
    </row>
    <row r="107" spans="3:16" x14ac:dyDescent="0.25">
      <c r="C107" s="319"/>
    </row>
    <row r="108" spans="3:16" x14ac:dyDescent="0.25">
      <c r="C108" s="319"/>
    </row>
    <row r="109" spans="3:16" x14ac:dyDescent="0.25">
      <c r="C109" s="319"/>
    </row>
    <row r="110" spans="3:16" x14ac:dyDescent="0.25">
      <c r="C110" s="319"/>
    </row>
    <row r="111" spans="3:16" x14ac:dyDescent="0.25">
      <c r="C111" s="319"/>
    </row>
    <row r="112" spans="3:16" x14ac:dyDescent="0.25">
      <c r="C112" s="319"/>
    </row>
    <row r="113" spans="3:3" x14ac:dyDescent="0.25">
      <c r="C113" s="319"/>
    </row>
    <row r="114" spans="3:3" x14ac:dyDescent="0.25">
      <c r="C114" s="319"/>
    </row>
    <row r="115" spans="3:3" x14ac:dyDescent="0.25">
      <c r="C115" s="319"/>
    </row>
    <row r="116" spans="3:3" x14ac:dyDescent="0.25">
      <c r="C116" s="319"/>
    </row>
    <row r="117" spans="3:3" x14ac:dyDescent="0.25">
      <c r="C117" s="319"/>
    </row>
    <row r="118" spans="3:3" x14ac:dyDescent="0.25">
      <c r="C118" s="319"/>
    </row>
    <row r="119" spans="3:3" x14ac:dyDescent="0.25">
      <c r="C119" s="319"/>
    </row>
    <row r="120" spans="3:3" x14ac:dyDescent="0.25">
      <c r="C120" s="319"/>
    </row>
    <row r="121" spans="3:3" x14ac:dyDescent="0.25">
      <c r="C121" s="319"/>
    </row>
    <row r="122" spans="3:3" x14ac:dyDescent="0.25">
      <c r="C122" s="319"/>
    </row>
    <row r="123" spans="3:3" x14ac:dyDescent="0.25">
      <c r="C123" s="319"/>
    </row>
    <row r="124" spans="3:3" x14ac:dyDescent="0.25">
      <c r="C124" s="319"/>
    </row>
    <row r="125" spans="3:3" x14ac:dyDescent="0.25">
      <c r="C125" s="319"/>
    </row>
    <row r="126" spans="3:3" x14ac:dyDescent="0.25">
      <c r="C126" s="319"/>
    </row>
    <row r="127" spans="3:3" x14ac:dyDescent="0.25">
      <c r="C127" s="319"/>
    </row>
    <row r="128" spans="3:3" x14ac:dyDescent="0.25">
      <c r="C128" s="319"/>
    </row>
    <row r="129" spans="3:16" x14ac:dyDescent="0.25">
      <c r="C129" s="319"/>
    </row>
    <row r="130" spans="3:16" x14ac:dyDescent="0.25">
      <c r="C130" s="319"/>
    </row>
    <row r="131" spans="3:16" x14ac:dyDescent="0.25">
      <c r="C131" s="319"/>
    </row>
    <row r="132" spans="3:16" x14ac:dyDescent="0.25">
      <c r="C132" s="319"/>
    </row>
    <row r="133" spans="3:16" x14ac:dyDescent="0.25">
      <c r="C133" s="319"/>
    </row>
    <row r="134" spans="3:16" x14ac:dyDescent="0.25">
      <c r="C134" s="319"/>
    </row>
    <row r="135" spans="3:16" x14ac:dyDescent="0.25">
      <c r="C135" s="319"/>
    </row>
    <row r="136" spans="3:16" x14ac:dyDescent="0.25">
      <c r="C136" s="319"/>
    </row>
    <row r="137" spans="3:16" x14ac:dyDescent="0.25">
      <c r="C137" s="319"/>
    </row>
    <row r="138" spans="3:16" x14ac:dyDescent="0.25">
      <c r="C138" s="319"/>
    </row>
    <row r="139" spans="3:16" x14ac:dyDescent="0.25">
      <c r="C139" s="319"/>
    </row>
    <row r="140" spans="3:16" x14ac:dyDescent="0.25">
      <c r="C140" s="319"/>
    </row>
    <row r="141" spans="3:16" x14ac:dyDescent="0.25">
      <c r="C141" s="319"/>
    </row>
    <row r="142" spans="3:16" x14ac:dyDescent="0.25">
      <c r="C142" s="319"/>
    </row>
    <row r="143" spans="3:16" x14ac:dyDescent="0.25">
      <c r="C143" s="319"/>
    </row>
    <row r="144" spans="3:16" ht="127.5" x14ac:dyDescent="1.85">
      <c r="C144" s="319"/>
      <c r="P144" s="321" t="s">
        <v>613</v>
      </c>
    </row>
    <row r="145" spans="3:3" x14ac:dyDescent="0.25">
      <c r="C145" s="319"/>
    </row>
    <row r="146" spans="3:3" x14ac:dyDescent="0.25">
      <c r="C146" s="319"/>
    </row>
    <row r="147" spans="3:3" x14ac:dyDescent="0.25">
      <c r="C147" s="319"/>
    </row>
    <row r="148" spans="3:3" x14ac:dyDescent="0.25">
      <c r="C148" s="319"/>
    </row>
    <row r="149" spans="3:3" x14ac:dyDescent="0.25">
      <c r="C149" s="319"/>
    </row>
    <row r="150" spans="3:3" x14ac:dyDescent="0.25">
      <c r="C150" s="319"/>
    </row>
    <row r="151" spans="3:3" x14ac:dyDescent="0.25">
      <c r="C151" s="319"/>
    </row>
    <row r="152" spans="3:3" x14ac:dyDescent="0.25">
      <c r="C152" s="319"/>
    </row>
    <row r="153" spans="3:3" x14ac:dyDescent="0.25">
      <c r="C153" s="319"/>
    </row>
    <row r="154" spans="3:3" x14ac:dyDescent="0.25">
      <c r="C154" s="319"/>
    </row>
    <row r="155" spans="3:3" x14ac:dyDescent="0.25">
      <c r="C155" s="319"/>
    </row>
    <row r="156" spans="3:3" x14ac:dyDescent="0.25">
      <c r="C156" s="319"/>
    </row>
    <row r="157" spans="3:3" x14ac:dyDescent="0.25">
      <c r="C157" s="319"/>
    </row>
    <row r="158" spans="3:3" x14ac:dyDescent="0.25">
      <c r="C158" s="319"/>
    </row>
    <row r="159" spans="3:3" x14ac:dyDescent="0.25">
      <c r="C159" s="319"/>
    </row>
    <row r="160" spans="3:3" x14ac:dyDescent="0.25">
      <c r="C160" s="319"/>
    </row>
    <row r="161" spans="3:3" x14ac:dyDescent="0.25">
      <c r="C161" s="319"/>
    </row>
    <row r="162" spans="3:3" x14ac:dyDescent="0.25">
      <c r="C162" s="319"/>
    </row>
    <row r="163" spans="3:3" x14ac:dyDescent="0.25">
      <c r="C163" s="319"/>
    </row>
    <row r="164" spans="3:3" x14ac:dyDescent="0.25">
      <c r="C164" s="319"/>
    </row>
    <row r="165" spans="3:3" x14ac:dyDescent="0.25">
      <c r="C165" s="319"/>
    </row>
    <row r="166" spans="3:3" x14ac:dyDescent="0.25">
      <c r="C166" s="319"/>
    </row>
    <row r="167" spans="3:3" x14ac:dyDescent="0.25">
      <c r="C167" s="319"/>
    </row>
    <row r="168" spans="3:3" x14ac:dyDescent="0.25">
      <c r="C168" s="319"/>
    </row>
    <row r="169" spans="3:3" x14ac:dyDescent="0.25">
      <c r="C169" s="319"/>
    </row>
    <row r="170" spans="3:3" x14ac:dyDescent="0.25">
      <c r="C170" s="319"/>
    </row>
    <row r="171" spans="3:3" x14ac:dyDescent="0.25">
      <c r="C171" s="319"/>
    </row>
    <row r="172" spans="3:3" x14ac:dyDescent="0.25">
      <c r="C172" s="319"/>
    </row>
    <row r="173" spans="3:3" x14ac:dyDescent="0.25">
      <c r="C173" s="319"/>
    </row>
    <row r="174" spans="3:3" x14ac:dyDescent="0.25">
      <c r="C174" s="319"/>
    </row>
    <row r="175" spans="3:3" x14ac:dyDescent="0.25">
      <c r="C175" s="319"/>
    </row>
    <row r="176" spans="3:3" x14ac:dyDescent="0.25">
      <c r="C176" s="319"/>
    </row>
    <row r="177" spans="3:16" x14ac:dyDescent="0.25">
      <c r="C177" s="319"/>
    </row>
    <row r="178" spans="3:16" x14ac:dyDescent="0.25">
      <c r="C178" s="319"/>
    </row>
    <row r="179" spans="3:16" x14ac:dyDescent="0.25">
      <c r="C179" s="319"/>
    </row>
    <row r="180" spans="3:16" x14ac:dyDescent="0.25">
      <c r="C180" s="319"/>
    </row>
    <row r="181" spans="3:16" x14ac:dyDescent="0.25">
      <c r="C181" s="319"/>
    </row>
    <row r="182" spans="3:16" x14ac:dyDescent="0.25">
      <c r="C182" s="319"/>
    </row>
    <row r="183" spans="3:16" x14ac:dyDescent="0.25">
      <c r="C183" s="319"/>
    </row>
    <row r="184" spans="3:16" x14ac:dyDescent="0.25">
      <c r="C184" s="319"/>
    </row>
    <row r="185" spans="3:16" x14ac:dyDescent="0.25">
      <c r="C185" s="319"/>
    </row>
    <row r="186" spans="3:16" x14ac:dyDescent="0.25">
      <c r="C186" s="319"/>
    </row>
    <row r="187" spans="3:16" x14ac:dyDescent="0.25">
      <c r="C187" s="319"/>
    </row>
    <row r="188" spans="3:16" x14ac:dyDescent="0.25">
      <c r="C188" s="319"/>
    </row>
    <row r="189" spans="3:16" x14ac:dyDescent="0.25">
      <c r="C189" s="319"/>
    </row>
    <row r="190" spans="3:16" x14ac:dyDescent="0.25">
      <c r="C190" s="319"/>
    </row>
    <row r="191" spans="3:16" x14ac:dyDescent="0.25">
      <c r="C191" s="319"/>
    </row>
    <row r="192" spans="3:16" ht="127.5" x14ac:dyDescent="1.85">
      <c r="C192" s="319"/>
      <c r="P192" s="321" t="s">
        <v>614</v>
      </c>
    </row>
    <row r="193" spans="3:3" x14ac:dyDescent="0.25">
      <c r="C193" s="319"/>
    </row>
    <row r="194" spans="3:3" x14ac:dyDescent="0.25">
      <c r="C194" s="319"/>
    </row>
    <row r="195" spans="3:3" x14ac:dyDescent="0.25">
      <c r="C195" s="319"/>
    </row>
    <row r="196" spans="3:3" x14ac:dyDescent="0.25">
      <c r="C196" s="319"/>
    </row>
    <row r="197" spans="3:3" x14ac:dyDescent="0.25">
      <c r="C197" s="319"/>
    </row>
    <row r="198" spans="3:3" x14ac:dyDescent="0.25">
      <c r="C198" s="319"/>
    </row>
    <row r="199" spans="3:3" x14ac:dyDescent="0.25">
      <c r="C199" s="319"/>
    </row>
    <row r="200" spans="3:3" x14ac:dyDescent="0.25">
      <c r="C200" s="319"/>
    </row>
    <row r="201" spans="3:3" x14ac:dyDescent="0.25">
      <c r="C201" s="319"/>
    </row>
    <row r="202" spans="3:3" x14ac:dyDescent="0.25">
      <c r="C202" s="319"/>
    </row>
    <row r="203" spans="3:3" x14ac:dyDescent="0.25">
      <c r="C203" s="319"/>
    </row>
    <row r="204" spans="3:3" x14ac:dyDescent="0.25">
      <c r="C204" s="319"/>
    </row>
    <row r="205" spans="3:3" x14ac:dyDescent="0.25">
      <c r="C205" s="319"/>
    </row>
    <row r="206" spans="3:3" x14ac:dyDescent="0.25">
      <c r="C206" s="319"/>
    </row>
    <row r="207" spans="3:3" x14ac:dyDescent="0.25">
      <c r="C207" s="319"/>
    </row>
    <row r="208" spans="3:3" x14ac:dyDescent="0.25">
      <c r="C208" s="319"/>
    </row>
    <row r="209" spans="3:16" x14ac:dyDescent="0.25">
      <c r="C209" s="319"/>
    </row>
    <row r="210" spans="3:16" x14ac:dyDescent="0.25">
      <c r="C210" s="319"/>
    </row>
    <row r="211" spans="3:16" x14ac:dyDescent="0.25">
      <c r="C211" s="319"/>
    </row>
    <row r="212" spans="3:16" x14ac:dyDescent="0.25">
      <c r="C212" s="319"/>
    </row>
    <row r="213" spans="3:16" x14ac:dyDescent="0.25">
      <c r="C213" s="319"/>
    </row>
    <row r="214" spans="3:16" x14ac:dyDescent="0.25">
      <c r="C214" s="319"/>
    </row>
    <row r="215" spans="3:16" ht="127.5" x14ac:dyDescent="1.85">
      <c r="C215" s="319"/>
      <c r="P215" s="321" t="s">
        <v>615</v>
      </c>
    </row>
    <row r="216" spans="3:16" x14ac:dyDescent="0.25">
      <c r="C216" s="319"/>
    </row>
    <row r="217" spans="3:16" x14ac:dyDescent="0.25">
      <c r="C217" s="319"/>
    </row>
    <row r="218" spans="3:16" x14ac:dyDescent="0.25">
      <c r="C218" s="319"/>
    </row>
    <row r="219" spans="3:16" x14ac:dyDescent="0.25">
      <c r="C219" s="319"/>
    </row>
    <row r="220" spans="3:16" x14ac:dyDescent="0.25">
      <c r="C220" s="319"/>
    </row>
    <row r="221" spans="3:16" x14ac:dyDescent="0.25">
      <c r="C221" s="319"/>
    </row>
    <row r="222" spans="3:16" x14ac:dyDescent="0.25">
      <c r="C222" s="319"/>
    </row>
    <row r="223" spans="3:16" x14ac:dyDescent="0.25">
      <c r="C223" s="319"/>
    </row>
    <row r="224" spans="3:16" x14ac:dyDescent="0.25">
      <c r="C224" s="319"/>
    </row>
    <row r="225" spans="3:3" x14ac:dyDescent="0.25">
      <c r="C225" s="319"/>
    </row>
    <row r="226" spans="3:3" x14ac:dyDescent="0.25">
      <c r="C226" s="319"/>
    </row>
    <row r="227" spans="3:3" x14ac:dyDescent="0.25">
      <c r="C227" s="319"/>
    </row>
    <row r="228" spans="3:3" x14ac:dyDescent="0.25">
      <c r="C228" s="319"/>
    </row>
    <row r="229" spans="3:3" x14ac:dyDescent="0.25">
      <c r="C229" s="319"/>
    </row>
    <row r="230" spans="3:3" x14ac:dyDescent="0.25">
      <c r="C230" s="319"/>
    </row>
    <row r="231" spans="3:3" x14ac:dyDescent="0.25">
      <c r="C231" s="319"/>
    </row>
    <row r="232" spans="3:3" x14ac:dyDescent="0.25">
      <c r="C232" s="319"/>
    </row>
    <row r="233" spans="3:3" x14ac:dyDescent="0.25">
      <c r="C233" s="319"/>
    </row>
    <row r="234" spans="3:3" x14ac:dyDescent="0.25">
      <c r="C234" s="319"/>
    </row>
    <row r="235" spans="3:3" x14ac:dyDescent="0.25">
      <c r="C235" s="319"/>
    </row>
    <row r="236" spans="3:3" x14ac:dyDescent="0.25">
      <c r="C236" s="319"/>
    </row>
    <row r="237" spans="3:3" x14ac:dyDescent="0.25">
      <c r="C237" s="319"/>
    </row>
    <row r="238" spans="3:3" x14ac:dyDescent="0.25">
      <c r="C238" s="319"/>
    </row>
    <row r="239" spans="3:3" x14ac:dyDescent="0.25">
      <c r="C239" s="319"/>
    </row>
    <row r="240" spans="3:3" x14ac:dyDescent="0.25">
      <c r="C240" s="319"/>
    </row>
    <row r="241" spans="3:3" x14ac:dyDescent="0.25">
      <c r="C241" s="319"/>
    </row>
    <row r="242" spans="3:3" x14ac:dyDescent="0.25">
      <c r="C242" s="319"/>
    </row>
    <row r="243" spans="3:3" x14ac:dyDescent="0.25">
      <c r="C243" s="319"/>
    </row>
    <row r="244" spans="3:3" x14ac:dyDescent="0.25">
      <c r="C244" s="319"/>
    </row>
    <row r="245" spans="3:3" x14ac:dyDescent="0.25">
      <c r="C245" s="319"/>
    </row>
    <row r="246" spans="3:3" x14ac:dyDescent="0.25">
      <c r="C246" s="319"/>
    </row>
    <row r="247" spans="3:3" x14ac:dyDescent="0.25">
      <c r="C247" s="319"/>
    </row>
    <row r="248" spans="3:3" x14ac:dyDescent="0.25">
      <c r="C248" s="319"/>
    </row>
    <row r="249" spans="3:3" x14ac:dyDescent="0.25">
      <c r="C249" s="319"/>
    </row>
    <row r="250" spans="3:3" x14ac:dyDescent="0.25">
      <c r="C250" s="319"/>
    </row>
    <row r="251" spans="3:3" x14ac:dyDescent="0.25">
      <c r="C251" s="319"/>
    </row>
    <row r="252" spans="3:3" x14ac:dyDescent="0.25">
      <c r="C252" s="319"/>
    </row>
    <row r="253" spans="3:3" x14ac:dyDescent="0.25">
      <c r="C253" s="319"/>
    </row>
    <row r="254" spans="3:3" x14ac:dyDescent="0.25">
      <c r="C254" s="319"/>
    </row>
    <row r="255" spans="3:3" x14ac:dyDescent="0.25">
      <c r="C255" s="319"/>
    </row>
    <row r="256" spans="3:3" x14ac:dyDescent="0.25">
      <c r="C256" s="319"/>
    </row>
    <row r="257" spans="3:16" x14ac:dyDescent="0.25">
      <c r="C257" s="319"/>
    </row>
    <row r="258" spans="3:16" x14ac:dyDescent="0.25">
      <c r="C258" s="319"/>
    </row>
    <row r="259" spans="3:16" x14ac:dyDescent="0.25">
      <c r="C259" s="319"/>
    </row>
    <row r="260" spans="3:16" x14ac:dyDescent="0.25">
      <c r="C260" s="319"/>
    </row>
    <row r="261" spans="3:16" x14ac:dyDescent="0.25">
      <c r="C261" s="319"/>
    </row>
    <row r="262" spans="3:16" x14ac:dyDescent="0.25">
      <c r="C262" s="319"/>
    </row>
    <row r="263" spans="3:16" x14ac:dyDescent="0.25">
      <c r="C263" s="319"/>
    </row>
    <row r="264" spans="3:16" ht="127.5" x14ac:dyDescent="1.85">
      <c r="C264" s="319"/>
      <c r="P264" s="321" t="s">
        <v>616</v>
      </c>
    </row>
    <row r="265" spans="3:16" x14ac:dyDescent="0.25">
      <c r="C265" s="319"/>
    </row>
    <row r="266" spans="3:16" x14ac:dyDescent="0.25">
      <c r="C266" s="319"/>
    </row>
    <row r="267" spans="3:16" x14ac:dyDescent="0.25">
      <c r="C267" s="319"/>
    </row>
    <row r="268" spans="3:16" x14ac:dyDescent="0.25">
      <c r="C268" s="319"/>
    </row>
    <row r="269" spans="3:16" x14ac:dyDescent="0.25">
      <c r="C269" s="319"/>
    </row>
    <row r="270" spans="3:16" x14ac:dyDescent="0.25">
      <c r="C270" s="319"/>
    </row>
    <row r="271" spans="3:16" x14ac:dyDescent="0.25">
      <c r="C271" s="319"/>
    </row>
    <row r="272" spans="3:16" x14ac:dyDescent="0.25">
      <c r="C272" s="319"/>
    </row>
    <row r="273" spans="3:3" x14ac:dyDescent="0.25">
      <c r="C273" s="319"/>
    </row>
    <row r="274" spans="3:3" x14ac:dyDescent="0.25">
      <c r="C274" s="319"/>
    </row>
    <row r="275" spans="3:3" x14ac:dyDescent="0.25">
      <c r="C275" s="319"/>
    </row>
    <row r="276" spans="3:3" x14ac:dyDescent="0.25">
      <c r="C276" s="319"/>
    </row>
    <row r="277" spans="3:3" x14ac:dyDescent="0.25">
      <c r="C277" s="319"/>
    </row>
    <row r="278" spans="3:3" x14ac:dyDescent="0.25">
      <c r="C278" s="319"/>
    </row>
    <row r="279" spans="3:3" x14ac:dyDescent="0.25">
      <c r="C279" s="319"/>
    </row>
    <row r="280" spans="3:3" x14ac:dyDescent="0.25">
      <c r="C280" s="319"/>
    </row>
    <row r="281" spans="3:3" x14ac:dyDescent="0.25">
      <c r="C281" s="319"/>
    </row>
    <row r="282" spans="3:3" x14ac:dyDescent="0.25">
      <c r="C282" s="319"/>
    </row>
    <row r="283" spans="3:3" x14ac:dyDescent="0.25">
      <c r="C283" s="319"/>
    </row>
    <row r="284" spans="3:3" x14ac:dyDescent="0.25">
      <c r="C284" s="319"/>
    </row>
    <row r="285" spans="3:3" x14ac:dyDescent="0.25">
      <c r="C285" s="319"/>
    </row>
    <row r="286" spans="3:3" x14ac:dyDescent="0.25">
      <c r="C286" s="319"/>
    </row>
    <row r="287" spans="3:3" x14ac:dyDescent="0.25">
      <c r="C287" s="319"/>
    </row>
    <row r="288" spans="3:3" x14ac:dyDescent="0.25">
      <c r="C288" s="319"/>
    </row>
    <row r="289" spans="3:3" x14ac:dyDescent="0.25">
      <c r="C289" s="319"/>
    </row>
    <row r="290" spans="3:3" x14ac:dyDescent="0.25">
      <c r="C290" s="319"/>
    </row>
    <row r="291" spans="3:3" x14ac:dyDescent="0.25">
      <c r="C291" s="319"/>
    </row>
    <row r="292" spans="3:3" x14ac:dyDescent="0.25">
      <c r="C292" s="319"/>
    </row>
    <row r="293" spans="3:3" x14ac:dyDescent="0.25">
      <c r="C293" s="319"/>
    </row>
    <row r="294" spans="3:3" x14ac:dyDescent="0.25">
      <c r="C294" s="319"/>
    </row>
    <row r="295" spans="3:3" x14ac:dyDescent="0.25">
      <c r="C295" s="319"/>
    </row>
    <row r="296" spans="3:3" x14ac:dyDescent="0.25">
      <c r="C296" s="319"/>
    </row>
    <row r="297" spans="3:3" x14ac:dyDescent="0.25">
      <c r="C297" s="319"/>
    </row>
    <row r="298" spans="3:3" x14ac:dyDescent="0.25">
      <c r="C298" s="319"/>
    </row>
    <row r="299" spans="3:3" x14ac:dyDescent="0.25">
      <c r="C299" s="319"/>
    </row>
    <row r="300" spans="3:3" x14ac:dyDescent="0.25">
      <c r="C300" s="319"/>
    </row>
    <row r="301" spans="3:3" x14ac:dyDescent="0.25">
      <c r="C301" s="319"/>
    </row>
    <row r="302" spans="3:3" x14ac:dyDescent="0.25">
      <c r="C302" s="319"/>
    </row>
    <row r="303" spans="3:3" x14ac:dyDescent="0.25">
      <c r="C303" s="319"/>
    </row>
    <row r="304" spans="3:3" x14ac:dyDescent="0.25">
      <c r="C304" s="319"/>
    </row>
    <row r="305" spans="3:16" x14ac:dyDescent="0.25">
      <c r="C305" s="319"/>
    </row>
    <row r="306" spans="3:16" x14ac:dyDescent="0.25">
      <c r="C306" s="319"/>
    </row>
    <row r="307" spans="3:16" x14ac:dyDescent="0.25">
      <c r="C307" s="319"/>
    </row>
    <row r="308" spans="3:16" x14ac:dyDescent="0.25">
      <c r="C308" s="319"/>
    </row>
    <row r="309" spans="3:16" x14ac:dyDescent="0.25">
      <c r="C309" s="319"/>
    </row>
    <row r="310" spans="3:16" x14ac:dyDescent="0.25">
      <c r="C310" s="319"/>
    </row>
    <row r="311" spans="3:16" x14ac:dyDescent="0.25">
      <c r="C311" s="319"/>
    </row>
    <row r="312" spans="3:16" x14ac:dyDescent="0.25">
      <c r="C312" s="319"/>
    </row>
    <row r="313" spans="3:16" ht="127.5" x14ac:dyDescent="1.85">
      <c r="C313" s="319"/>
      <c r="P313" s="321" t="s">
        <v>617</v>
      </c>
    </row>
    <row r="314" spans="3:16" x14ac:dyDescent="0.25">
      <c r="C314" s="319"/>
    </row>
    <row r="315" spans="3:16" x14ac:dyDescent="0.25">
      <c r="C315" s="319"/>
    </row>
    <row r="316" spans="3:16" x14ac:dyDescent="0.25">
      <c r="C316" s="319"/>
    </row>
    <row r="317" spans="3:16" x14ac:dyDescent="0.25">
      <c r="C317" s="319"/>
    </row>
    <row r="318" spans="3:16" x14ac:dyDescent="0.25">
      <c r="C318" s="319"/>
    </row>
    <row r="319" spans="3:16" x14ac:dyDescent="0.25">
      <c r="C319" s="319"/>
    </row>
    <row r="320" spans="3:16" x14ac:dyDescent="0.25">
      <c r="C320" s="319"/>
    </row>
    <row r="321" spans="3:3" x14ac:dyDescent="0.25">
      <c r="C321" s="319"/>
    </row>
    <row r="322" spans="3:3" x14ac:dyDescent="0.25">
      <c r="C322" s="319"/>
    </row>
    <row r="323" spans="3:3" x14ac:dyDescent="0.25">
      <c r="C323" s="319"/>
    </row>
    <row r="324" spans="3:3" x14ac:dyDescent="0.25">
      <c r="C324" s="319"/>
    </row>
    <row r="325" spans="3:3" x14ac:dyDescent="0.25">
      <c r="C325" s="319"/>
    </row>
    <row r="326" spans="3:3" x14ac:dyDescent="0.25">
      <c r="C326" s="319"/>
    </row>
    <row r="327" spans="3:3" x14ac:dyDescent="0.25">
      <c r="C327" s="319"/>
    </row>
    <row r="328" spans="3:3" x14ac:dyDescent="0.25">
      <c r="C328" s="319"/>
    </row>
    <row r="329" spans="3:3" x14ac:dyDescent="0.25">
      <c r="C329" s="319"/>
    </row>
    <row r="330" spans="3:3" x14ac:dyDescent="0.25">
      <c r="C330" s="319"/>
    </row>
    <row r="331" spans="3:3" x14ac:dyDescent="0.25">
      <c r="C331" s="319"/>
    </row>
    <row r="332" spans="3:3" x14ac:dyDescent="0.25">
      <c r="C332" s="319"/>
    </row>
    <row r="333" spans="3:3" x14ac:dyDescent="0.25">
      <c r="C333" s="319"/>
    </row>
    <row r="334" spans="3:3" x14ac:dyDescent="0.25">
      <c r="C334" s="319"/>
    </row>
    <row r="335" spans="3:3" x14ac:dyDescent="0.25">
      <c r="C335" s="319"/>
    </row>
    <row r="336" spans="3:3" x14ac:dyDescent="0.25">
      <c r="C336" s="319"/>
    </row>
    <row r="337" spans="3:3" x14ac:dyDescent="0.25">
      <c r="C337" s="319"/>
    </row>
    <row r="338" spans="3:3" x14ac:dyDescent="0.25">
      <c r="C338" s="319"/>
    </row>
    <row r="339" spans="3:3" x14ac:dyDescent="0.25">
      <c r="C339" s="319"/>
    </row>
    <row r="340" spans="3:3" x14ac:dyDescent="0.25">
      <c r="C340" s="319"/>
    </row>
    <row r="341" spans="3:3" x14ac:dyDescent="0.25">
      <c r="C341" s="319"/>
    </row>
    <row r="342" spans="3:3" x14ac:dyDescent="0.25">
      <c r="C342" s="319"/>
    </row>
    <row r="343" spans="3:3" x14ac:dyDescent="0.25">
      <c r="C343" s="319"/>
    </row>
    <row r="344" spans="3:3" x14ac:dyDescent="0.25">
      <c r="C344" s="319"/>
    </row>
    <row r="345" spans="3:3" x14ac:dyDescent="0.25">
      <c r="C345" s="319"/>
    </row>
    <row r="346" spans="3:3" x14ac:dyDescent="0.25">
      <c r="C346" s="319"/>
    </row>
    <row r="347" spans="3:3" x14ac:dyDescent="0.25">
      <c r="C347" s="319"/>
    </row>
    <row r="348" spans="3:3" x14ac:dyDescent="0.25">
      <c r="C348" s="319"/>
    </row>
    <row r="349" spans="3:3" x14ac:dyDescent="0.25">
      <c r="C349" s="319"/>
    </row>
    <row r="350" spans="3:3" x14ac:dyDescent="0.25">
      <c r="C350" s="319"/>
    </row>
    <row r="351" spans="3:3" x14ac:dyDescent="0.25">
      <c r="C351" s="319"/>
    </row>
    <row r="352" spans="3:3" x14ac:dyDescent="0.25">
      <c r="C352" s="319"/>
    </row>
    <row r="353" spans="3:16" x14ac:dyDescent="0.25">
      <c r="C353" s="319"/>
    </row>
    <row r="354" spans="3:16" x14ac:dyDescent="0.25">
      <c r="C354" s="319"/>
    </row>
    <row r="355" spans="3:16" x14ac:dyDescent="0.25">
      <c r="C355" s="319"/>
    </row>
    <row r="356" spans="3:16" x14ac:dyDescent="0.25">
      <c r="C356" s="319"/>
    </row>
    <row r="357" spans="3:16" x14ac:dyDescent="0.25">
      <c r="C357" s="319"/>
    </row>
    <row r="358" spans="3:16" x14ac:dyDescent="0.25">
      <c r="C358" s="319"/>
    </row>
    <row r="359" spans="3:16" x14ac:dyDescent="0.25">
      <c r="C359" s="319"/>
    </row>
    <row r="360" spans="3:16" x14ac:dyDescent="0.25">
      <c r="C360" s="319"/>
    </row>
    <row r="361" spans="3:16" x14ac:dyDescent="0.25">
      <c r="C361" s="319"/>
    </row>
    <row r="362" spans="3:16" ht="127.5" x14ac:dyDescent="1.85">
      <c r="C362" s="319"/>
      <c r="P362" s="321" t="s">
        <v>618</v>
      </c>
    </row>
    <row r="363" spans="3:16" x14ac:dyDescent="0.25">
      <c r="C363" s="319"/>
    </row>
    <row r="364" spans="3:16" x14ac:dyDescent="0.25">
      <c r="C364" s="319"/>
    </row>
    <row r="365" spans="3:16" x14ac:dyDescent="0.25">
      <c r="C365" s="319"/>
    </row>
    <row r="366" spans="3:16" x14ac:dyDescent="0.25">
      <c r="C366" s="319"/>
    </row>
    <row r="367" spans="3:16" x14ac:dyDescent="0.25">
      <c r="C367" s="319"/>
    </row>
    <row r="368" spans="3:16" x14ac:dyDescent="0.25">
      <c r="C368" s="319"/>
    </row>
    <row r="369" spans="3:3" x14ac:dyDescent="0.25">
      <c r="C369" s="319"/>
    </row>
    <row r="370" spans="3:3" x14ac:dyDescent="0.25">
      <c r="C370" s="319"/>
    </row>
    <row r="371" spans="3:3" x14ac:dyDescent="0.25">
      <c r="C371" s="319"/>
    </row>
    <row r="372" spans="3:3" x14ac:dyDescent="0.25">
      <c r="C372" s="319"/>
    </row>
    <row r="373" spans="3:3" x14ac:dyDescent="0.25">
      <c r="C373" s="319"/>
    </row>
    <row r="374" spans="3:3" x14ac:dyDescent="0.25">
      <c r="C374" s="319"/>
    </row>
    <row r="375" spans="3:3" x14ac:dyDescent="0.25">
      <c r="C375" s="319"/>
    </row>
    <row r="376" spans="3:3" x14ac:dyDescent="0.25">
      <c r="C376" s="319"/>
    </row>
    <row r="377" spans="3:3" x14ac:dyDescent="0.25">
      <c r="C377" s="319"/>
    </row>
    <row r="378" spans="3:3" x14ac:dyDescent="0.25">
      <c r="C378" s="319"/>
    </row>
    <row r="379" spans="3:3" x14ac:dyDescent="0.25">
      <c r="C379" s="319"/>
    </row>
    <row r="380" spans="3:3" x14ac:dyDescent="0.25">
      <c r="C380" s="319"/>
    </row>
    <row r="381" spans="3:3" x14ac:dyDescent="0.25">
      <c r="C381" s="319"/>
    </row>
    <row r="382" spans="3:3" x14ac:dyDescent="0.25">
      <c r="C382" s="319"/>
    </row>
    <row r="383" spans="3:3" x14ac:dyDescent="0.25">
      <c r="C383" s="319"/>
    </row>
    <row r="384" spans="3:3" x14ac:dyDescent="0.25">
      <c r="C384" s="319"/>
    </row>
    <row r="385" spans="3:3" x14ac:dyDescent="0.25">
      <c r="C385" s="319"/>
    </row>
    <row r="386" spans="3:3" x14ac:dyDescent="0.25">
      <c r="C386" s="319"/>
    </row>
    <row r="387" spans="3:3" x14ac:dyDescent="0.25">
      <c r="C387" s="319"/>
    </row>
    <row r="388" spans="3:3" x14ac:dyDescent="0.25">
      <c r="C388" s="319"/>
    </row>
    <row r="389" spans="3:3" x14ac:dyDescent="0.25">
      <c r="C389" s="319"/>
    </row>
    <row r="390" spans="3:3" x14ac:dyDescent="0.25">
      <c r="C390" s="319"/>
    </row>
    <row r="391" spans="3:3" x14ac:dyDescent="0.25">
      <c r="C391" s="319"/>
    </row>
    <row r="392" spans="3:3" x14ac:dyDescent="0.25">
      <c r="C392" s="319"/>
    </row>
    <row r="393" spans="3:3" x14ac:dyDescent="0.25">
      <c r="C393" s="319"/>
    </row>
    <row r="394" spans="3:3" x14ac:dyDescent="0.25">
      <c r="C394" s="319"/>
    </row>
    <row r="395" spans="3:3" x14ac:dyDescent="0.25">
      <c r="C395" s="319"/>
    </row>
    <row r="396" spans="3:3" x14ac:dyDescent="0.25">
      <c r="C396" s="319"/>
    </row>
    <row r="397" spans="3:3" x14ac:dyDescent="0.25">
      <c r="C397" s="319"/>
    </row>
    <row r="398" spans="3:3" x14ac:dyDescent="0.25">
      <c r="C398" s="319"/>
    </row>
    <row r="399" spans="3:3" x14ac:dyDescent="0.25">
      <c r="C399" s="319"/>
    </row>
    <row r="400" spans="3:3" x14ac:dyDescent="0.25">
      <c r="C400" s="319"/>
    </row>
    <row r="401" spans="3:3" x14ac:dyDescent="0.25">
      <c r="C401" s="319"/>
    </row>
    <row r="402" spans="3:3" x14ac:dyDescent="0.25">
      <c r="C402" s="319"/>
    </row>
    <row r="403" spans="3:3" x14ac:dyDescent="0.25">
      <c r="C403" s="319"/>
    </row>
    <row r="404" spans="3:3" x14ac:dyDescent="0.25">
      <c r="C404" s="319"/>
    </row>
    <row r="405" spans="3:3" x14ac:dyDescent="0.25">
      <c r="C405" s="319"/>
    </row>
    <row r="406" spans="3:3" x14ac:dyDescent="0.25">
      <c r="C406" s="319"/>
    </row>
    <row r="407" spans="3:3" x14ac:dyDescent="0.25">
      <c r="C407" s="319"/>
    </row>
    <row r="408" spans="3:3" x14ac:dyDescent="0.25">
      <c r="C408" s="319"/>
    </row>
    <row r="409" spans="3:3" x14ac:dyDescent="0.25">
      <c r="C409" s="319"/>
    </row>
    <row r="410" spans="3:3" x14ac:dyDescent="0.25">
      <c r="C410" s="319"/>
    </row>
    <row r="411" spans="3:3" x14ac:dyDescent="0.25">
      <c r="C411" s="319"/>
    </row>
    <row r="412" spans="3:3" x14ac:dyDescent="0.25">
      <c r="C412" s="319"/>
    </row>
    <row r="413" spans="3:3" x14ac:dyDescent="0.25">
      <c r="C413" s="319"/>
    </row>
    <row r="414" spans="3:3" x14ac:dyDescent="0.25">
      <c r="C414" s="319"/>
    </row>
    <row r="415" spans="3:3" x14ac:dyDescent="0.25">
      <c r="C415" s="319"/>
    </row>
    <row r="416" spans="3:3" x14ac:dyDescent="0.25">
      <c r="C416" s="319"/>
    </row>
    <row r="417" spans="3:3" x14ac:dyDescent="0.25">
      <c r="C417" s="319"/>
    </row>
    <row r="418" spans="3:3" x14ac:dyDescent="0.25">
      <c r="C418" s="319"/>
    </row>
    <row r="419" spans="3:3" x14ac:dyDescent="0.25">
      <c r="C419" s="319"/>
    </row>
    <row r="420" spans="3:3" x14ac:dyDescent="0.25">
      <c r="C420" s="319"/>
    </row>
    <row r="421" spans="3:3" x14ac:dyDescent="0.25">
      <c r="C421" s="319"/>
    </row>
    <row r="422" spans="3:3" x14ac:dyDescent="0.25">
      <c r="C422" s="319"/>
    </row>
    <row r="423" spans="3:3" x14ac:dyDescent="0.25">
      <c r="C423" s="319"/>
    </row>
    <row r="424" spans="3:3" x14ac:dyDescent="0.25">
      <c r="C424" s="319"/>
    </row>
    <row r="425" spans="3:3" x14ac:dyDescent="0.25">
      <c r="C425" s="319"/>
    </row>
    <row r="426" spans="3:3" x14ac:dyDescent="0.25">
      <c r="C426" s="319"/>
    </row>
    <row r="427" spans="3:3" x14ac:dyDescent="0.25">
      <c r="C427" s="319"/>
    </row>
    <row r="428" spans="3:3" x14ac:dyDescent="0.25">
      <c r="C428" s="319"/>
    </row>
    <row r="429" spans="3:3" x14ac:dyDescent="0.25">
      <c r="C429" s="319"/>
    </row>
    <row r="430" spans="3:3" x14ac:dyDescent="0.25">
      <c r="C430" s="319"/>
    </row>
    <row r="431" spans="3:3" x14ac:dyDescent="0.25">
      <c r="C431" s="319"/>
    </row>
    <row r="432" spans="3:3" x14ac:dyDescent="0.25">
      <c r="C432" s="319"/>
    </row>
    <row r="433" spans="3:3" x14ac:dyDescent="0.25">
      <c r="C433" s="319"/>
    </row>
    <row r="434" spans="3:3" x14ac:dyDescent="0.25">
      <c r="C434" s="319"/>
    </row>
    <row r="435" spans="3:3" x14ac:dyDescent="0.25">
      <c r="C435" s="319"/>
    </row>
    <row r="436" spans="3:3" x14ac:dyDescent="0.25">
      <c r="C436" s="319"/>
    </row>
    <row r="437" spans="3:3" x14ac:dyDescent="0.25">
      <c r="C437" s="319"/>
    </row>
    <row r="438" spans="3:3" x14ac:dyDescent="0.25">
      <c r="C438" s="319"/>
    </row>
    <row r="439" spans="3:3" x14ac:dyDescent="0.25">
      <c r="C439" s="319"/>
    </row>
    <row r="440" spans="3:3" x14ac:dyDescent="0.25">
      <c r="C440" s="319"/>
    </row>
    <row r="441" spans="3:3" x14ac:dyDescent="0.25">
      <c r="C441" s="319"/>
    </row>
    <row r="442" spans="3:3" x14ac:dyDescent="0.25">
      <c r="C442" s="319"/>
    </row>
    <row r="443" spans="3:3" x14ac:dyDescent="0.25">
      <c r="C443" s="319"/>
    </row>
    <row r="444" spans="3:3" x14ac:dyDescent="0.25">
      <c r="C444" s="319"/>
    </row>
    <row r="445" spans="3:3" x14ac:dyDescent="0.25">
      <c r="C445" s="319"/>
    </row>
    <row r="446" spans="3:3" x14ac:dyDescent="0.25">
      <c r="C446" s="319"/>
    </row>
    <row r="447" spans="3:3" x14ac:dyDescent="0.25">
      <c r="C447" s="319"/>
    </row>
    <row r="448" spans="3:3" x14ac:dyDescent="0.25">
      <c r="C448" s="319"/>
    </row>
    <row r="449" spans="3:3" x14ac:dyDescent="0.25">
      <c r="C449" s="319"/>
    </row>
    <row r="450" spans="3:3" x14ac:dyDescent="0.25">
      <c r="C450" s="319"/>
    </row>
    <row r="451" spans="3:3" x14ac:dyDescent="0.25">
      <c r="C451" s="319"/>
    </row>
    <row r="452" spans="3:3" x14ac:dyDescent="0.25">
      <c r="C452" s="319"/>
    </row>
    <row r="453" spans="3:3" x14ac:dyDescent="0.25">
      <c r="C453" s="319"/>
    </row>
    <row r="454" spans="3:3" x14ac:dyDescent="0.25">
      <c r="C454" s="319"/>
    </row>
    <row r="455" spans="3:3" x14ac:dyDescent="0.25">
      <c r="C455" s="319"/>
    </row>
    <row r="456" spans="3:3" x14ac:dyDescent="0.25">
      <c r="C456" s="319"/>
    </row>
    <row r="457" spans="3:3" x14ac:dyDescent="0.25">
      <c r="C457" s="319"/>
    </row>
    <row r="458" spans="3:3" x14ac:dyDescent="0.25">
      <c r="C458" s="319"/>
    </row>
    <row r="459" spans="3:3" x14ac:dyDescent="0.25">
      <c r="C459" s="319"/>
    </row>
    <row r="460" spans="3:3" x14ac:dyDescent="0.25">
      <c r="C460" s="319"/>
    </row>
    <row r="461" spans="3:3" x14ac:dyDescent="0.25">
      <c r="C461" s="319"/>
    </row>
    <row r="462" spans="3:3" x14ac:dyDescent="0.25">
      <c r="C462" s="319"/>
    </row>
    <row r="463" spans="3:3" x14ac:dyDescent="0.25">
      <c r="C463" s="319"/>
    </row>
    <row r="464" spans="3:3" x14ac:dyDescent="0.25">
      <c r="C464" s="319"/>
    </row>
    <row r="465" spans="3:3" x14ac:dyDescent="0.25">
      <c r="C465" s="319"/>
    </row>
    <row r="466" spans="3:3" x14ac:dyDescent="0.25">
      <c r="C466" s="319"/>
    </row>
    <row r="467" spans="3:3" x14ac:dyDescent="0.25">
      <c r="C467" s="319"/>
    </row>
    <row r="468" spans="3:3" x14ac:dyDescent="0.25">
      <c r="C468" s="319"/>
    </row>
    <row r="469" spans="3:3" x14ac:dyDescent="0.25">
      <c r="C469" s="319"/>
    </row>
    <row r="470" spans="3:3" x14ac:dyDescent="0.25">
      <c r="C470" s="319"/>
    </row>
    <row r="471" spans="3:3" x14ac:dyDescent="0.25">
      <c r="C471" s="319"/>
    </row>
    <row r="472" spans="3:3" x14ac:dyDescent="0.25">
      <c r="C472" s="319"/>
    </row>
    <row r="473" spans="3:3" x14ac:dyDescent="0.25">
      <c r="C473" s="319"/>
    </row>
    <row r="474" spans="3:3" x14ac:dyDescent="0.25">
      <c r="C474" s="319"/>
    </row>
    <row r="475" spans="3:3" x14ac:dyDescent="0.25">
      <c r="C475" s="319"/>
    </row>
    <row r="476" spans="3:3" x14ac:dyDescent="0.25">
      <c r="C476" s="319"/>
    </row>
    <row r="477" spans="3:3" x14ac:dyDescent="0.25">
      <c r="C477" s="319"/>
    </row>
    <row r="478" spans="3:3" x14ac:dyDescent="0.25">
      <c r="C478" s="319"/>
    </row>
    <row r="479" spans="3:3" x14ac:dyDescent="0.25">
      <c r="C479" s="319"/>
    </row>
    <row r="480" spans="3:3" x14ac:dyDescent="0.25">
      <c r="C480" s="319"/>
    </row>
    <row r="481" spans="3:3" x14ac:dyDescent="0.25">
      <c r="C481" s="319"/>
    </row>
    <row r="482" spans="3:3" x14ac:dyDescent="0.25">
      <c r="C482" s="319"/>
    </row>
    <row r="483" spans="3:3" x14ac:dyDescent="0.25">
      <c r="C483" s="319"/>
    </row>
    <row r="484" spans="3:3" x14ac:dyDescent="0.25">
      <c r="C484" s="319"/>
    </row>
    <row r="485" spans="3:3" x14ac:dyDescent="0.25">
      <c r="C485" s="319"/>
    </row>
    <row r="486" spans="3:3" x14ac:dyDescent="0.25">
      <c r="C486" s="319"/>
    </row>
    <row r="487" spans="3:3" x14ac:dyDescent="0.25">
      <c r="C487" s="319"/>
    </row>
    <row r="488" spans="3:3" x14ac:dyDescent="0.25">
      <c r="C488" s="319"/>
    </row>
    <row r="489" spans="3:3" x14ac:dyDescent="0.25">
      <c r="C489" s="319"/>
    </row>
    <row r="490" spans="3:3" x14ac:dyDescent="0.25">
      <c r="C490" s="319"/>
    </row>
    <row r="491" spans="3:3" x14ac:dyDescent="0.25">
      <c r="C491" s="319"/>
    </row>
    <row r="492" spans="3:3" x14ac:dyDescent="0.25">
      <c r="C492" s="319"/>
    </row>
    <row r="493" spans="3:3" x14ac:dyDescent="0.25">
      <c r="C493" s="319"/>
    </row>
    <row r="494" spans="3:3" x14ac:dyDescent="0.25">
      <c r="C494" s="319"/>
    </row>
    <row r="495" spans="3:3" x14ac:dyDescent="0.25">
      <c r="C495" s="319"/>
    </row>
    <row r="496" spans="3:3" x14ac:dyDescent="0.25">
      <c r="C496" s="319"/>
    </row>
    <row r="497" spans="3:3" x14ac:dyDescent="0.25">
      <c r="C497" s="319"/>
    </row>
    <row r="498" spans="3:3" x14ac:dyDescent="0.25">
      <c r="C498" s="319"/>
    </row>
    <row r="499" spans="3:3" x14ac:dyDescent="0.25">
      <c r="C499" s="319"/>
    </row>
    <row r="500" spans="3:3" x14ac:dyDescent="0.25">
      <c r="C500" s="319"/>
    </row>
    <row r="501" spans="3:3" x14ac:dyDescent="0.25">
      <c r="C501" s="319"/>
    </row>
    <row r="502" spans="3:3" x14ac:dyDescent="0.25">
      <c r="C502" s="319"/>
    </row>
    <row r="503" spans="3:3" x14ac:dyDescent="0.25">
      <c r="C503" s="319"/>
    </row>
    <row r="504" spans="3:3" x14ac:dyDescent="0.25">
      <c r="C504" s="319"/>
    </row>
    <row r="505" spans="3:3" x14ac:dyDescent="0.25">
      <c r="C505" s="319"/>
    </row>
    <row r="506" spans="3:3" x14ac:dyDescent="0.25">
      <c r="C506" s="319"/>
    </row>
    <row r="507" spans="3:3" x14ac:dyDescent="0.25">
      <c r="C507" s="319"/>
    </row>
    <row r="508" spans="3:3" x14ac:dyDescent="0.25">
      <c r="C508" s="319"/>
    </row>
    <row r="509" spans="3:3" x14ac:dyDescent="0.25">
      <c r="C509" s="319"/>
    </row>
    <row r="510" spans="3:3" x14ac:dyDescent="0.25">
      <c r="C510" s="319"/>
    </row>
    <row r="511" spans="3:3" x14ac:dyDescent="0.25">
      <c r="C511" s="319"/>
    </row>
    <row r="512" spans="3:3" x14ac:dyDescent="0.25">
      <c r="C512" s="319"/>
    </row>
    <row r="513" spans="3:16" x14ac:dyDescent="0.25">
      <c r="C513" s="319"/>
    </row>
    <row r="514" spans="3:16" x14ac:dyDescent="0.25">
      <c r="C514" s="319"/>
    </row>
    <row r="515" spans="3:16" x14ac:dyDescent="0.25">
      <c r="C515" s="319"/>
    </row>
    <row r="516" spans="3:16" x14ac:dyDescent="0.25">
      <c r="C516" s="319"/>
    </row>
    <row r="517" spans="3:16" x14ac:dyDescent="0.25">
      <c r="C517" s="319"/>
    </row>
    <row r="518" spans="3:16" x14ac:dyDescent="0.25">
      <c r="C518" s="319"/>
    </row>
    <row r="519" spans="3:16" x14ac:dyDescent="0.25">
      <c r="C519" s="319"/>
    </row>
    <row r="520" spans="3:16" x14ac:dyDescent="0.25">
      <c r="C520" s="319"/>
    </row>
    <row r="521" spans="3:16" x14ac:dyDescent="0.25">
      <c r="C521" s="319"/>
    </row>
    <row r="522" spans="3:16" x14ac:dyDescent="0.25">
      <c r="C522" s="319"/>
    </row>
    <row r="523" spans="3:16" x14ac:dyDescent="0.25">
      <c r="C523" s="319"/>
    </row>
    <row r="524" spans="3:16" x14ac:dyDescent="0.25">
      <c r="C524" s="319"/>
    </row>
    <row r="525" spans="3:16" ht="127.5" x14ac:dyDescent="1.85">
      <c r="C525" s="319"/>
      <c r="P525" s="321" t="s">
        <v>619</v>
      </c>
    </row>
    <row r="526" spans="3:16" x14ac:dyDescent="0.25">
      <c r="C526" s="319"/>
    </row>
    <row r="527" spans="3:16" x14ac:dyDescent="0.25">
      <c r="C527" s="319"/>
    </row>
    <row r="528" spans="3:16" x14ac:dyDescent="0.25">
      <c r="C528" s="319"/>
    </row>
    <row r="529" spans="3:3" x14ac:dyDescent="0.25">
      <c r="C529" s="319"/>
    </row>
    <row r="530" spans="3:3" x14ac:dyDescent="0.25">
      <c r="C530" s="319"/>
    </row>
    <row r="531" spans="3:3" x14ac:dyDescent="0.25">
      <c r="C531" s="319"/>
    </row>
    <row r="532" spans="3:3" x14ac:dyDescent="0.25">
      <c r="C532" s="319"/>
    </row>
    <row r="533" spans="3:3" x14ac:dyDescent="0.25">
      <c r="C533" s="319"/>
    </row>
    <row r="534" spans="3:3" x14ac:dyDescent="0.25">
      <c r="C534" s="319"/>
    </row>
    <row r="535" spans="3:3" x14ac:dyDescent="0.25">
      <c r="C535" s="319"/>
    </row>
    <row r="536" spans="3:3" x14ac:dyDescent="0.25">
      <c r="C536" s="319"/>
    </row>
    <row r="537" spans="3:3" x14ac:dyDescent="0.25">
      <c r="C537" s="319"/>
    </row>
    <row r="538" spans="3:3" x14ac:dyDescent="0.25">
      <c r="C538" s="319"/>
    </row>
    <row r="539" spans="3:3" x14ac:dyDescent="0.25">
      <c r="C539" s="319"/>
    </row>
    <row r="540" spans="3:3" x14ac:dyDescent="0.25">
      <c r="C540" s="319"/>
    </row>
    <row r="541" spans="3:3" x14ac:dyDescent="0.25">
      <c r="C541" s="319"/>
    </row>
    <row r="542" spans="3:3" x14ac:dyDescent="0.25">
      <c r="C542" s="319"/>
    </row>
    <row r="543" spans="3:3" x14ac:dyDescent="0.25">
      <c r="C543" s="319"/>
    </row>
    <row r="544" spans="3:3" x14ac:dyDescent="0.25">
      <c r="C544" s="319"/>
    </row>
    <row r="545" spans="3:3" x14ac:dyDescent="0.25">
      <c r="C545" s="319"/>
    </row>
    <row r="546" spans="3:3" x14ac:dyDescent="0.25">
      <c r="C546" s="319"/>
    </row>
    <row r="547" spans="3:3" x14ac:dyDescent="0.25">
      <c r="C547" s="319"/>
    </row>
    <row r="548" spans="3:3" x14ac:dyDescent="0.25">
      <c r="C548" s="319"/>
    </row>
    <row r="549" spans="3:3" x14ac:dyDescent="0.25">
      <c r="C549" s="319"/>
    </row>
    <row r="550" spans="3:3" x14ac:dyDescent="0.25">
      <c r="C550" s="319"/>
    </row>
    <row r="551" spans="3:3" x14ac:dyDescent="0.25">
      <c r="C551" s="319"/>
    </row>
    <row r="552" spans="3:3" x14ac:dyDescent="0.25">
      <c r="C552" s="319"/>
    </row>
    <row r="553" spans="3:3" x14ac:dyDescent="0.25">
      <c r="C553" s="319"/>
    </row>
    <row r="554" spans="3:3" x14ac:dyDescent="0.25">
      <c r="C554" s="319"/>
    </row>
    <row r="555" spans="3:3" x14ac:dyDescent="0.25">
      <c r="C555" s="319"/>
    </row>
    <row r="556" spans="3:3" x14ac:dyDescent="0.25">
      <c r="C556" s="319"/>
    </row>
    <row r="557" spans="3:3" x14ac:dyDescent="0.25">
      <c r="C557" s="319"/>
    </row>
    <row r="558" spans="3:3" x14ac:dyDescent="0.25">
      <c r="C558" s="319"/>
    </row>
    <row r="559" spans="3:3" x14ac:dyDescent="0.25">
      <c r="C559" s="319"/>
    </row>
    <row r="560" spans="3:3" x14ac:dyDescent="0.25">
      <c r="C560" s="319"/>
    </row>
    <row r="561" spans="3:16" x14ac:dyDescent="0.25">
      <c r="C561" s="319"/>
    </row>
    <row r="562" spans="3:16" x14ac:dyDescent="0.25">
      <c r="C562" s="319"/>
    </row>
    <row r="563" spans="3:16" x14ac:dyDescent="0.25">
      <c r="C563" s="319"/>
    </row>
    <row r="564" spans="3:16" x14ac:dyDescent="0.25">
      <c r="C564" s="319"/>
    </row>
    <row r="565" spans="3:16" x14ac:dyDescent="0.25">
      <c r="C565" s="319"/>
    </row>
    <row r="566" spans="3:16" x14ac:dyDescent="0.25">
      <c r="C566" s="319"/>
    </row>
    <row r="567" spans="3:16" x14ac:dyDescent="0.25">
      <c r="C567" s="319"/>
    </row>
    <row r="568" spans="3:16" x14ac:dyDescent="0.25">
      <c r="C568" s="319"/>
    </row>
    <row r="569" spans="3:16" x14ac:dyDescent="0.25">
      <c r="C569" s="319"/>
    </row>
    <row r="570" spans="3:16" x14ac:dyDescent="0.25">
      <c r="C570" s="319"/>
    </row>
    <row r="571" spans="3:16" x14ac:dyDescent="0.25">
      <c r="C571" s="319"/>
    </row>
    <row r="572" spans="3:16" x14ac:dyDescent="0.25">
      <c r="C572" s="319"/>
    </row>
    <row r="573" spans="3:16" ht="127.5" x14ac:dyDescent="1.85">
      <c r="C573" s="319"/>
      <c r="P573" s="321" t="s">
        <v>620</v>
      </c>
    </row>
    <row r="574" spans="3:16" x14ac:dyDescent="0.25">
      <c r="C574" s="319"/>
    </row>
    <row r="575" spans="3:16" x14ac:dyDescent="0.25">
      <c r="C575" s="319"/>
    </row>
    <row r="576" spans="3:16" x14ac:dyDescent="0.25">
      <c r="C576" s="319"/>
    </row>
    <row r="577" spans="3:3" x14ac:dyDescent="0.25">
      <c r="C577" s="319"/>
    </row>
    <row r="578" spans="3:3" x14ac:dyDescent="0.25">
      <c r="C578" s="319"/>
    </row>
    <row r="579" spans="3:3" x14ac:dyDescent="0.25">
      <c r="C579" s="319"/>
    </row>
    <row r="580" spans="3:3" x14ac:dyDescent="0.25">
      <c r="C580" s="319"/>
    </row>
    <row r="581" spans="3:3" x14ac:dyDescent="0.25">
      <c r="C581" s="319"/>
    </row>
    <row r="582" spans="3:3" x14ac:dyDescent="0.25">
      <c r="C582" s="319"/>
    </row>
    <row r="583" spans="3:3" x14ac:dyDescent="0.25">
      <c r="C583" s="319"/>
    </row>
    <row r="584" spans="3:3" x14ac:dyDescent="0.25">
      <c r="C584" s="319"/>
    </row>
    <row r="585" spans="3:3" x14ac:dyDescent="0.25">
      <c r="C585" s="319"/>
    </row>
    <row r="586" spans="3:3" x14ac:dyDescent="0.25">
      <c r="C586" s="319"/>
    </row>
    <row r="587" spans="3:3" x14ac:dyDescent="0.25">
      <c r="C587" s="319"/>
    </row>
    <row r="588" spans="3:3" x14ac:dyDescent="0.25">
      <c r="C588" s="319"/>
    </row>
    <row r="589" spans="3:3" x14ac:dyDescent="0.25">
      <c r="C589" s="319"/>
    </row>
    <row r="590" spans="3:3" x14ac:dyDescent="0.25">
      <c r="C590" s="319"/>
    </row>
    <row r="591" spans="3:3" x14ac:dyDescent="0.25">
      <c r="C591" s="319"/>
    </row>
    <row r="592" spans="3:3" x14ac:dyDescent="0.25">
      <c r="C592" s="319"/>
    </row>
    <row r="593" spans="3:3" x14ac:dyDescent="0.25">
      <c r="C593" s="319"/>
    </row>
    <row r="594" spans="3:3" x14ac:dyDescent="0.25">
      <c r="C594" s="319"/>
    </row>
    <row r="595" spans="3:3" x14ac:dyDescent="0.25">
      <c r="C595" s="319"/>
    </row>
    <row r="596" spans="3:3" x14ac:dyDescent="0.25">
      <c r="C596" s="319"/>
    </row>
    <row r="597" spans="3:3" x14ac:dyDescent="0.25">
      <c r="C597" s="319"/>
    </row>
    <row r="598" spans="3:3" x14ac:dyDescent="0.25">
      <c r="C598" s="319"/>
    </row>
    <row r="599" spans="3:3" x14ac:dyDescent="0.25">
      <c r="C599" s="319"/>
    </row>
    <row r="600" spans="3:3" x14ac:dyDescent="0.25">
      <c r="C600" s="319"/>
    </row>
    <row r="601" spans="3:3" x14ac:dyDescent="0.25">
      <c r="C601" s="319"/>
    </row>
    <row r="602" spans="3:3" x14ac:dyDescent="0.25">
      <c r="C602" s="319"/>
    </row>
    <row r="603" spans="3:3" x14ac:dyDescent="0.25">
      <c r="C603" s="319"/>
    </row>
    <row r="604" spans="3:3" x14ac:dyDescent="0.25">
      <c r="C604" s="319"/>
    </row>
    <row r="605" spans="3:3" x14ac:dyDescent="0.25">
      <c r="C605" s="319"/>
    </row>
    <row r="606" spans="3:3" x14ac:dyDescent="0.25">
      <c r="C606" s="319"/>
    </row>
    <row r="607" spans="3:3" x14ac:dyDescent="0.25">
      <c r="C607" s="319"/>
    </row>
    <row r="608" spans="3:3" x14ac:dyDescent="0.25">
      <c r="C608" s="319"/>
    </row>
    <row r="609" spans="3:16" x14ac:dyDescent="0.25">
      <c r="C609" s="319"/>
    </row>
    <row r="610" spans="3:16" x14ac:dyDescent="0.25">
      <c r="C610" s="319"/>
    </row>
    <row r="611" spans="3:16" x14ac:dyDescent="0.25">
      <c r="C611" s="319"/>
    </row>
    <row r="612" spans="3:16" x14ac:dyDescent="0.25">
      <c r="C612" s="319"/>
    </row>
    <row r="613" spans="3:16" x14ac:dyDescent="0.25">
      <c r="C613" s="319"/>
    </row>
    <row r="614" spans="3:16" x14ac:dyDescent="0.25">
      <c r="C614" s="319"/>
    </row>
    <row r="615" spans="3:16" x14ac:dyDescent="0.25">
      <c r="C615" s="319"/>
    </row>
    <row r="616" spans="3:16" x14ac:dyDescent="0.25">
      <c r="C616" s="319"/>
    </row>
    <row r="617" spans="3:16" x14ac:dyDescent="0.25">
      <c r="C617" s="319"/>
    </row>
    <row r="618" spans="3:16" x14ac:dyDescent="0.25">
      <c r="C618" s="319"/>
    </row>
    <row r="619" spans="3:16" x14ac:dyDescent="0.25">
      <c r="C619" s="319"/>
    </row>
    <row r="620" spans="3:16" x14ac:dyDescent="0.25">
      <c r="C620" s="319"/>
    </row>
    <row r="621" spans="3:16" x14ac:dyDescent="0.25">
      <c r="C621" s="319"/>
    </row>
    <row r="622" spans="3:16" ht="127.5" x14ac:dyDescent="1.85">
      <c r="C622" s="319"/>
      <c r="P622" s="321" t="s">
        <v>306</v>
      </c>
    </row>
    <row r="623" spans="3:16" x14ac:dyDescent="0.25">
      <c r="C623" s="319"/>
    </row>
    <row r="624" spans="3:16" x14ac:dyDescent="0.25">
      <c r="C624" s="319"/>
    </row>
    <row r="625" spans="3:3" x14ac:dyDescent="0.25">
      <c r="C625" s="319"/>
    </row>
    <row r="626" spans="3:3" x14ac:dyDescent="0.25">
      <c r="C626" s="319"/>
    </row>
    <row r="627" spans="3:3" x14ac:dyDescent="0.25">
      <c r="C627" s="319"/>
    </row>
    <row r="628" spans="3:3" x14ac:dyDescent="0.25">
      <c r="C628" s="319"/>
    </row>
    <row r="629" spans="3:3" x14ac:dyDescent="0.25">
      <c r="C629" s="319"/>
    </row>
    <row r="630" spans="3:3" x14ac:dyDescent="0.25">
      <c r="C630" s="319"/>
    </row>
    <row r="631" spans="3:3" x14ac:dyDescent="0.25">
      <c r="C631" s="319"/>
    </row>
    <row r="632" spans="3:3" x14ac:dyDescent="0.25">
      <c r="C632" s="319"/>
    </row>
    <row r="633" spans="3:3" x14ac:dyDescent="0.25">
      <c r="C633" s="319"/>
    </row>
    <row r="634" spans="3:3" x14ac:dyDescent="0.25">
      <c r="C634" s="319"/>
    </row>
    <row r="635" spans="3:3" x14ac:dyDescent="0.25">
      <c r="C635" s="319"/>
    </row>
    <row r="636" spans="3:3" x14ac:dyDescent="0.25">
      <c r="C636" s="319"/>
    </row>
    <row r="637" spans="3:3" x14ac:dyDescent="0.25">
      <c r="C637" s="319"/>
    </row>
    <row r="638" spans="3:3" x14ac:dyDescent="0.25">
      <c r="C638" s="319"/>
    </row>
    <row r="639" spans="3:3" x14ac:dyDescent="0.25">
      <c r="C639" s="319"/>
    </row>
    <row r="640" spans="3:3" x14ac:dyDescent="0.25">
      <c r="C640" s="319"/>
    </row>
    <row r="641" spans="3:3" x14ac:dyDescent="0.25">
      <c r="C641" s="319"/>
    </row>
    <row r="642" spans="3:3" x14ac:dyDescent="0.25">
      <c r="C642" s="319"/>
    </row>
    <row r="643" spans="3:3" x14ac:dyDescent="0.25">
      <c r="C643" s="319"/>
    </row>
    <row r="644" spans="3:3" x14ac:dyDescent="0.25">
      <c r="C644" s="319"/>
    </row>
    <row r="645" spans="3:3" x14ac:dyDescent="0.25">
      <c r="C645" s="319"/>
    </row>
    <row r="646" spans="3:3" x14ac:dyDescent="0.25">
      <c r="C646" s="319"/>
    </row>
    <row r="647" spans="3:3" x14ac:dyDescent="0.25">
      <c r="C647" s="319"/>
    </row>
    <row r="648" spans="3:3" x14ac:dyDescent="0.25">
      <c r="C648" s="319"/>
    </row>
    <row r="649" spans="3:3" x14ac:dyDescent="0.25">
      <c r="C649" s="319"/>
    </row>
    <row r="650" spans="3:3" x14ac:dyDescent="0.25">
      <c r="C650" s="319"/>
    </row>
    <row r="651" spans="3:3" x14ac:dyDescent="0.25">
      <c r="C651" s="319"/>
    </row>
    <row r="652" spans="3:3" x14ac:dyDescent="0.25">
      <c r="C652" s="319"/>
    </row>
    <row r="653" spans="3:3" x14ac:dyDescent="0.25">
      <c r="C653" s="319"/>
    </row>
    <row r="654" spans="3:3" x14ac:dyDescent="0.25">
      <c r="C654" s="319"/>
    </row>
    <row r="655" spans="3:3" x14ac:dyDescent="0.25">
      <c r="C655" s="319"/>
    </row>
    <row r="656" spans="3:3" x14ac:dyDescent="0.25">
      <c r="C656" s="319"/>
    </row>
    <row r="657" spans="3:3" x14ac:dyDescent="0.25">
      <c r="C657" s="319"/>
    </row>
    <row r="658" spans="3:3" x14ac:dyDescent="0.25">
      <c r="C658" s="319"/>
    </row>
    <row r="659" spans="3:3" x14ac:dyDescent="0.25">
      <c r="C659" s="319"/>
    </row>
    <row r="660" spans="3:3" x14ac:dyDescent="0.25">
      <c r="C660" s="319"/>
    </row>
    <row r="661" spans="3:3" x14ac:dyDescent="0.25">
      <c r="C661" s="319"/>
    </row>
    <row r="662" spans="3:3" x14ac:dyDescent="0.25">
      <c r="C662" s="319"/>
    </row>
    <row r="663" spans="3:3" x14ac:dyDescent="0.25">
      <c r="C663" s="319"/>
    </row>
    <row r="664" spans="3:3" x14ac:dyDescent="0.25">
      <c r="C664" s="319"/>
    </row>
    <row r="665" spans="3:3" x14ac:dyDescent="0.25">
      <c r="C665" s="319"/>
    </row>
    <row r="666" spans="3:3" x14ac:dyDescent="0.25">
      <c r="C666" s="319"/>
    </row>
    <row r="667" spans="3:3" x14ac:dyDescent="0.25">
      <c r="C667" s="319"/>
    </row>
    <row r="668" spans="3:3" x14ac:dyDescent="0.25">
      <c r="C668" s="319"/>
    </row>
    <row r="669" spans="3:3" x14ac:dyDescent="0.25">
      <c r="C669" s="319"/>
    </row>
    <row r="670" spans="3:3" x14ac:dyDescent="0.25">
      <c r="C670" s="319"/>
    </row>
    <row r="671" spans="3:3" x14ac:dyDescent="0.25">
      <c r="C671" s="319"/>
    </row>
    <row r="672" spans="3:3" x14ac:dyDescent="0.25">
      <c r="C672" s="319"/>
    </row>
    <row r="673" spans="3:3" x14ac:dyDescent="0.25">
      <c r="C673" s="319"/>
    </row>
    <row r="674" spans="3:3" x14ac:dyDescent="0.25">
      <c r="C674" s="319"/>
    </row>
    <row r="675" spans="3:3" x14ac:dyDescent="0.25">
      <c r="C675" s="319"/>
    </row>
    <row r="676" spans="3:3" x14ac:dyDescent="0.25">
      <c r="C676" s="319"/>
    </row>
    <row r="677" spans="3:3" x14ac:dyDescent="0.25">
      <c r="C677" s="319"/>
    </row>
    <row r="678" spans="3:3" x14ac:dyDescent="0.25">
      <c r="C678" s="319"/>
    </row>
    <row r="679" spans="3:3" x14ac:dyDescent="0.25">
      <c r="C679" s="319"/>
    </row>
    <row r="680" spans="3:3" x14ac:dyDescent="0.25">
      <c r="C680" s="319"/>
    </row>
    <row r="681" spans="3:3" x14ac:dyDescent="0.25">
      <c r="C681" s="319"/>
    </row>
    <row r="682" spans="3:3" x14ac:dyDescent="0.25">
      <c r="C682" s="319"/>
    </row>
    <row r="683" spans="3:3" x14ac:dyDescent="0.25">
      <c r="C683" s="319"/>
    </row>
    <row r="684" spans="3:3" x14ac:dyDescent="0.25">
      <c r="C684" s="319"/>
    </row>
    <row r="685" spans="3:3" x14ac:dyDescent="0.25">
      <c r="C685" s="319"/>
    </row>
    <row r="686" spans="3:3" x14ac:dyDescent="0.25">
      <c r="C686" s="319"/>
    </row>
    <row r="687" spans="3:3" x14ac:dyDescent="0.25">
      <c r="C687" s="319"/>
    </row>
    <row r="688" spans="3:3" x14ac:dyDescent="0.25">
      <c r="C688" s="319"/>
    </row>
    <row r="689" spans="3:3" x14ac:dyDescent="0.25">
      <c r="C689" s="319"/>
    </row>
    <row r="690" spans="3:3" x14ac:dyDescent="0.25">
      <c r="C690" s="319"/>
    </row>
    <row r="691" spans="3:3" x14ac:dyDescent="0.25">
      <c r="C691" s="319"/>
    </row>
    <row r="692" spans="3:3" x14ac:dyDescent="0.25">
      <c r="C692" s="319"/>
    </row>
    <row r="693" spans="3:3" x14ac:dyDescent="0.25">
      <c r="C693" s="319"/>
    </row>
    <row r="694" spans="3:3" x14ac:dyDescent="0.25">
      <c r="C694" s="319"/>
    </row>
    <row r="695" spans="3:3" x14ac:dyDescent="0.25">
      <c r="C695" s="319"/>
    </row>
    <row r="696" spans="3:3" x14ac:dyDescent="0.25">
      <c r="C696" s="319"/>
    </row>
    <row r="697" spans="3:3" x14ac:dyDescent="0.25">
      <c r="C697" s="319"/>
    </row>
    <row r="698" spans="3:3" x14ac:dyDescent="0.25">
      <c r="C698" s="319"/>
    </row>
    <row r="699" spans="3:3" x14ac:dyDescent="0.25">
      <c r="C699" s="319"/>
    </row>
    <row r="700" spans="3:3" x14ac:dyDescent="0.25">
      <c r="C700" s="319"/>
    </row>
    <row r="701" spans="3:3" x14ac:dyDescent="0.25">
      <c r="C701" s="319"/>
    </row>
    <row r="702" spans="3:3" x14ac:dyDescent="0.25">
      <c r="C702" s="319"/>
    </row>
    <row r="703" spans="3:3" x14ac:dyDescent="0.25">
      <c r="C703" s="319"/>
    </row>
    <row r="704" spans="3:3" x14ac:dyDescent="0.25">
      <c r="C704" s="319"/>
    </row>
    <row r="705" spans="3:3" x14ac:dyDescent="0.25">
      <c r="C705" s="319"/>
    </row>
    <row r="706" spans="3:3" x14ac:dyDescent="0.25">
      <c r="C706" s="319"/>
    </row>
    <row r="707" spans="3:3" x14ac:dyDescent="0.25">
      <c r="C707" s="319"/>
    </row>
    <row r="708" spans="3:3" x14ac:dyDescent="0.25">
      <c r="C708" s="319"/>
    </row>
    <row r="709" spans="3:3" x14ac:dyDescent="0.25">
      <c r="C709" s="319"/>
    </row>
    <row r="710" spans="3:3" x14ac:dyDescent="0.25">
      <c r="C710" s="319"/>
    </row>
    <row r="711" spans="3:3" x14ac:dyDescent="0.25">
      <c r="C711" s="319"/>
    </row>
    <row r="712" spans="3:3" x14ac:dyDescent="0.25">
      <c r="C712" s="319"/>
    </row>
    <row r="713" spans="3:3" x14ac:dyDescent="0.25">
      <c r="C713" s="319"/>
    </row>
    <row r="714" spans="3:3" x14ac:dyDescent="0.25">
      <c r="C714" s="319"/>
    </row>
    <row r="715" spans="3:3" x14ac:dyDescent="0.25">
      <c r="C715" s="319"/>
    </row>
    <row r="716" spans="3:3" x14ac:dyDescent="0.25">
      <c r="C716" s="319"/>
    </row>
    <row r="717" spans="3:3" x14ac:dyDescent="0.25">
      <c r="C717" s="319"/>
    </row>
    <row r="718" spans="3:3" x14ac:dyDescent="0.25">
      <c r="C718" s="319"/>
    </row>
    <row r="719" spans="3:3" x14ac:dyDescent="0.25">
      <c r="C719" s="319"/>
    </row>
    <row r="720" spans="3:3" x14ac:dyDescent="0.25">
      <c r="C720" s="319"/>
    </row>
    <row r="721" spans="3:3" x14ac:dyDescent="0.25">
      <c r="C721" s="319"/>
    </row>
    <row r="722" spans="3:3" x14ac:dyDescent="0.25">
      <c r="C722" s="319"/>
    </row>
    <row r="723" spans="3:3" x14ac:dyDescent="0.25">
      <c r="C723" s="319"/>
    </row>
    <row r="724" spans="3:3" x14ac:dyDescent="0.25">
      <c r="C724" s="319"/>
    </row>
    <row r="725" spans="3:3" x14ac:dyDescent="0.25">
      <c r="C725" s="319"/>
    </row>
    <row r="726" spans="3:3" x14ac:dyDescent="0.25">
      <c r="C726" s="319"/>
    </row>
    <row r="727" spans="3:3" x14ac:dyDescent="0.25">
      <c r="C727" s="319"/>
    </row>
    <row r="728" spans="3:3" x14ac:dyDescent="0.25">
      <c r="C728" s="319"/>
    </row>
    <row r="729" spans="3:3" x14ac:dyDescent="0.25">
      <c r="C729" s="319"/>
    </row>
    <row r="730" spans="3:3" x14ac:dyDescent="0.25">
      <c r="C730" s="319"/>
    </row>
    <row r="731" spans="3:3" x14ac:dyDescent="0.25">
      <c r="C731" s="319"/>
    </row>
    <row r="732" spans="3:3" x14ac:dyDescent="0.25">
      <c r="C732" s="319"/>
    </row>
    <row r="733" spans="3:3" x14ac:dyDescent="0.25">
      <c r="C733" s="319"/>
    </row>
    <row r="734" spans="3:3" x14ac:dyDescent="0.25">
      <c r="C734" s="319"/>
    </row>
    <row r="735" spans="3:3" x14ac:dyDescent="0.25">
      <c r="C735" s="319"/>
    </row>
    <row r="736" spans="3:3" x14ac:dyDescent="0.25">
      <c r="C736" s="319"/>
    </row>
    <row r="737" spans="3:3" x14ac:dyDescent="0.25">
      <c r="C737" s="319"/>
    </row>
    <row r="738" spans="3:3" x14ac:dyDescent="0.25">
      <c r="C738" s="319"/>
    </row>
    <row r="739" spans="3:3" x14ac:dyDescent="0.25">
      <c r="C739" s="319"/>
    </row>
    <row r="740" spans="3:3" x14ac:dyDescent="0.25">
      <c r="C740" s="319"/>
    </row>
    <row r="741" spans="3:3" x14ac:dyDescent="0.25">
      <c r="C741" s="319"/>
    </row>
    <row r="742" spans="3:3" x14ac:dyDescent="0.25">
      <c r="C742" s="319"/>
    </row>
    <row r="743" spans="3:3" x14ac:dyDescent="0.25">
      <c r="C743" s="319"/>
    </row>
    <row r="744" spans="3:3" x14ac:dyDescent="0.25">
      <c r="C744" s="319"/>
    </row>
    <row r="745" spans="3:3" x14ac:dyDescent="0.25">
      <c r="C745" s="319"/>
    </row>
    <row r="746" spans="3:3" x14ac:dyDescent="0.25">
      <c r="C746" s="319"/>
    </row>
    <row r="747" spans="3:3" x14ac:dyDescent="0.25">
      <c r="C747" s="319"/>
    </row>
    <row r="748" spans="3:3" x14ac:dyDescent="0.25">
      <c r="C748" s="319"/>
    </row>
    <row r="749" spans="3:3" x14ac:dyDescent="0.25">
      <c r="C749" s="319"/>
    </row>
    <row r="750" spans="3:3" x14ac:dyDescent="0.25">
      <c r="C750" s="319"/>
    </row>
    <row r="751" spans="3:3" x14ac:dyDescent="0.25">
      <c r="C751" s="319"/>
    </row>
    <row r="752" spans="3:3" x14ac:dyDescent="0.25">
      <c r="C752" s="319"/>
    </row>
    <row r="753" spans="3:3" x14ac:dyDescent="0.25">
      <c r="C753" s="319"/>
    </row>
    <row r="754" spans="3:3" x14ac:dyDescent="0.25">
      <c r="C754" s="319"/>
    </row>
    <row r="755" spans="3:3" x14ac:dyDescent="0.25">
      <c r="C755" s="319"/>
    </row>
    <row r="756" spans="3:3" x14ac:dyDescent="0.25">
      <c r="C756" s="319"/>
    </row>
    <row r="757" spans="3:3" x14ac:dyDescent="0.25">
      <c r="C757" s="319"/>
    </row>
    <row r="758" spans="3:3" x14ac:dyDescent="0.25">
      <c r="C758" s="319"/>
    </row>
    <row r="759" spans="3:3" x14ac:dyDescent="0.25">
      <c r="C759" s="319"/>
    </row>
    <row r="760" spans="3:3" x14ac:dyDescent="0.25">
      <c r="C760" s="319"/>
    </row>
    <row r="761" spans="3:3" x14ac:dyDescent="0.25">
      <c r="C761" s="319"/>
    </row>
    <row r="762" spans="3:3" x14ac:dyDescent="0.25">
      <c r="C762" s="319"/>
    </row>
    <row r="763" spans="3:3" x14ac:dyDescent="0.25">
      <c r="C763" s="319"/>
    </row>
    <row r="764" spans="3:3" x14ac:dyDescent="0.25">
      <c r="C764" s="319"/>
    </row>
    <row r="765" spans="3:3" x14ac:dyDescent="0.25">
      <c r="C765" s="319"/>
    </row>
    <row r="766" spans="3:3" x14ac:dyDescent="0.25">
      <c r="C766" s="319"/>
    </row>
    <row r="767" spans="3:3" x14ac:dyDescent="0.25">
      <c r="C767" s="319"/>
    </row>
    <row r="768" spans="3:3" x14ac:dyDescent="0.25">
      <c r="C768" s="319"/>
    </row>
    <row r="769" spans="3:3" x14ac:dyDescent="0.25">
      <c r="C769" s="319"/>
    </row>
    <row r="770" spans="3:3" x14ac:dyDescent="0.25">
      <c r="C770" s="319"/>
    </row>
    <row r="771" spans="3:3" x14ac:dyDescent="0.25">
      <c r="C771" s="319"/>
    </row>
    <row r="772" spans="3:3" x14ac:dyDescent="0.25">
      <c r="C772" s="319"/>
    </row>
    <row r="773" spans="3:3" x14ac:dyDescent="0.25">
      <c r="C773" s="319"/>
    </row>
    <row r="774" spans="3:3" x14ac:dyDescent="0.25">
      <c r="C774" s="319"/>
    </row>
    <row r="775" spans="3:3" x14ac:dyDescent="0.25">
      <c r="C775" s="319"/>
    </row>
    <row r="776" spans="3:3" x14ac:dyDescent="0.25">
      <c r="C776" s="319"/>
    </row>
    <row r="777" spans="3:3" x14ac:dyDescent="0.25">
      <c r="C777" s="319"/>
    </row>
    <row r="778" spans="3:3" x14ac:dyDescent="0.25">
      <c r="C778" s="319"/>
    </row>
    <row r="779" spans="3:3" x14ac:dyDescent="0.25">
      <c r="C779" s="319"/>
    </row>
    <row r="780" spans="3:3" x14ac:dyDescent="0.25">
      <c r="C780" s="319"/>
    </row>
    <row r="781" spans="3:3" x14ac:dyDescent="0.25">
      <c r="C781" s="319"/>
    </row>
    <row r="782" spans="3:3" x14ac:dyDescent="0.25">
      <c r="C782" s="319"/>
    </row>
    <row r="783" spans="3:3" x14ac:dyDescent="0.25">
      <c r="C783" s="319"/>
    </row>
    <row r="784" spans="3:3" x14ac:dyDescent="0.25">
      <c r="C784" s="319"/>
    </row>
    <row r="785" spans="3:16" ht="127.5" x14ac:dyDescent="1.85">
      <c r="C785" s="319"/>
      <c r="P785" s="321" t="s">
        <v>621</v>
      </c>
    </row>
    <row r="786" spans="3:16" x14ac:dyDescent="0.25">
      <c r="C786" s="319"/>
    </row>
    <row r="787" spans="3:16" x14ac:dyDescent="0.25">
      <c r="C787" s="319"/>
    </row>
    <row r="788" spans="3:16" x14ac:dyDescent="0.25">
      <c r="C788" s="319"/>
    </row>
    <row r="789" spans="3:16" x14ac:dyDescent="0.25">
      <c r="C789" s="319"/>
    </row>
    <row r="790" spans="3:16" x14ac:dyDescent="0.25">
      <c r="C790" s="319"/>
    </row>
    <row r="791" spans="3:16" x14ac:dyDescent="0.25">
      <c r="C791" s="319"/>
    </row>
    <row r="792" spans="3:16" x14ac:dyDescent="0.25">
      <c r="C792" s="319"/>
    </row>
    <row r="793" spans="3:16" x14ac:dyDescent="0.25">
      <c r="C793" s="319"/>
    </row>
    <row r="794" spans="3:16" x14ac:dyDescent="0.25">
      <c r="C794" s="319"/>
    </row>
    <row r="795" spans="3:16" x14ac:dyDescent="0.25">
      <c r="C795" s="319"/>
    </row>
    <row r="796" spans="3:16" x14ac:dyDescent="0.25">
      <c r="C796" s="319"/>
    </row>
    <row r="797" spans="3:16" x14ac:dyDescent="0.25">
      <c r="C797" s="319"/>
    </row>
    <row r="798" spans="3:16" x14ac:dyDescent="0.25">
      <c r="C798" s="319"/>
    </row>
    <row r="799" spans="3:16" x14ac:dyDescent="0.25">
      <c r="C799" s="319"/>
    </row>
    <row r="800" spans="3:16" x14ac:dyDescent="0.25">
      <c r="C800" s="319"/>
    </row>
    <row r="801" spans="3:3" x14ac:dyDescent="0.25">
      <c r="C801" s="319"/>
    </row>
    <row r="802" spans="3:3" x14ac:dyDescent="0.25">
      <c r="C802" s="319"/>
    </row>
    <row r="803" spans="3:3" x14ac:dyDescent="0.25">
      <c r="C803" s="319"/>
    </row>
    <row r="804" spans="3:3" x14ac:dyDescent="0.25">
      <c r="C804" s="319"/>
    </row>
    <row r="805" spans="3:3" x14ac:dyDescent="0.25">
      <c r="C805" s="319"/>
    </row>
    <row r="806" spans="3:3" x14ac:dyDescent="0.25">
      <c r="C806" s="319"/>
    </row>
    <row r="807" spans="3:3" x14ac:dyDescent="0.25">
      <c r="C807" s="319"/>
    </row>
    <row r="808" spans="3:3" x14ac:dyDescent="0.25">
      <c r="C808" s="319"/>
    </row>
    <row r="809" spans="3:3" x14ac:dyDescent="0.25">
      <c r="C809" s="319"/>
    </row>
    <row r="810" spans="3:3" x14ac:dyDescent="0.25">
      <c r="C810" s="319"/>
    </row>
    <row r="811" spans="3:3" x14ac:dyDescent="0.25">
      <c r="C811" s="319"/>
    </row>
    <row r="812" spans="3:3" x14ac:dyDescent="0.25">
      <c r="C812" s="319"/>
    </row>
    <row r="813" spans="3:3" x14ac:dyDescent="0.25">
      <c r="C813" s="319"/>
    </row>
    <row r="814" spans="3:3" x14ac:dyDescent="0.25">
      <c r="C814" s="319"/>
    </row>
    <row r="815" spans="3:3" x14ac:dyDescent="0.25">
      <c r="C815" s="319"/>
    </row>
    <row r="816" spans="3:3" x14ac:dyDescent="0.25">
      <c r="C816" s="319"/>
    </row>
    <row r="817" spans="3:3" x14ac:dyDescent="0.25">
      <c r="C817" s="319"/>
    </row>
    <row r="818" spans="3:3" x14ac:dyDescent="0.25">
      <c r="C818" s="319"/>
    </row>
    <row r="819" spans="3:3" x14ac:dyDescent="0.25">
      <c r="C819" s="319"/>
    </row>
    <row r="820" spans="3:3" x14ac:dyDescent="0.25">
      <c r="C820" s="319"/>
    </row>
    <row r="821" spans="3:3" x14ac:dyDescent="0.25">
      <c r="C821" s="319"/>
    </row>
    <row r="822" spans="3:3" x14ac:dyDescent="0.25">
      <c r="C822" s="319"/>
    </row>
    <row r="823" spans="3:3" x14ac:dyDescent="0.25">
      <c r="C823" s="319"/>
    </row>
    <row r="824" spans="3:3" x14ac:dyDescent="0.25">
      <c r="C824" s="319"/>
    </row>
    <row r="825" spans="3:3" x14ac:dyDescent="0.25">
      <c r="C825" s="319"/>
    </row>
    <row r="826" spans="3:3" x14ac:dyDescent="0.25">
      <c r="C826" s="319"/>
    </row>
    <row r="827" spans="3:3" x14ac:dyDescent="0.25">
      <c r="C827" s="319"/>
    </row>
    <row r="828" spans="3:3" x14ac:dyDescent="0.25">
      <c r="C828" s="319"/>
    </row>
    <row r="829" spans="3:3" x14ac:dyDescent="0.25">
      <c r="C829" s="319"/>
    </row>
    <row r="830" spans="3:3" x14ac:dyDescent="0.25">
      <c r="C830" s="319"/>
    </row>
    <row r="831" spans="3:3" x14ac:dyDescent="0.25">
      <c r="C831" s="319"/>
    </row>
    <row r="832" spans="3:3" x14ac:dyDescent="0.25">
      <c r="C832" s="319"/>
    </row>
    <row r="833" spans="3:3" x14ac:dyDescent="0.25">
      <c r="C833" s="319"/>
    </row>
    <row r="834" spans="3:3" x14ac:dyDescent="0.25">
      <c r="C834" s="319"/>
    </row>
    <row r="835" spans="3:3" x14ac:dyDescent="0.25">
      <c r="C835" s="319"/>
    </row>
    <row r="836" spans="3:3" x14ac:dyDescent="0.25">
      <c r="C836" s="319"/>
    </row>
    <row r="837" spans="3:3" x14ac:dyDescent="0.25">
      <c r="C837" s="319"/>
    </row>
    <row r="838" spans="3:3" x14ac:dyDescent="0.25">
      <c r="C838" s="319"/>
    </row>
    <row r="839" spans="3:3" x14ac:dyDescent="0.25">
      <c r="C839" s="319"/>
    </row>
    <row r="840" spans="3:3" x14ac:dyDescent="0.25">
      <c r="C840" s="319"/>
    </row>
    <row r="841" spans="3:3" x14ac:dyDescent="0.25">
      <c r="C841" s="319"/>
    </row>
    <row r="842" spans="3:3" x14ac:dyDescent="0.25">
      <c r="C842" s="319"/>
    </row>
    <row r="843" spans="3:3" x14ac:dyDescent="0.25">
      <c r="C843" s="319"/>
    </row>
    <row r="844" spans="3:3" x14ac:dyDescent="0.25">
      <c r="C844" s="319"/>
    </row>
    <row r="845" spans="3:3" x14ac:dyDescent="0.25">
      <c r="C845" s="319"/>
    </row>
    <row r="846" spans="3:3" x14ac:dyDescent="0.25">
      <c r="C846" s="319"/>
    </row>
    <row r="847" spans="3:3" x14ac:dyDescent="0.25">
      <c r="C847" s="319"/>
    </row>
    <row r="848" spans="3:3" x14ac:dyDescent="0.25">
      <c r="C848" s="319"/>
    </row>
    <row r="849" spans="3:3" x14ac:dyDescent="0.25">
      <c r="C849" s="319"/>
    </row>
    <row r="850" spans="3:3" x14ac:dyDescent="0.25">
      <c r="C850" s="319"/>
    </row>
    <row r="851" spans="3:3" x14ac:dyDescent="0.25">
      <c r="C851" s="319"/>
    </row>
    <row r="852" spans="3:3" x14ac:dyDescent="0.25">
      <c r="C852" s="319"/>
    </row>
    <row r="853" spans="3:3" x14ac:dyDescent="0.25">
      <c r="C853" s="319"/>
    </row>
    <row r="854" spans="3:3" x14ac:dyDescent="0.25">
      <c r="C854" s="319"/>
    </row>
    <row r="855" spans="3:3" x14ac:dyDescent="0.25">
      <c r="C855" s="319"/>
    </row>
    <row r="856" spans="3:3" x14ac:dyDescent="0.25">
      <c r="C856" s="319"/>
    </row>
    <row r="857" spans="3:3" x14ac:dyDescent="0.25">
      <c r="C857" s="319"/>
    </row>
    <row r="858" spans="3:3" x14ac:dyDescent="0.25">
      <c r="C858" s="319"/>
    </row>
    <row r="859" spans="3:3" x14ac:dyDescent="0.25">
      <c r="C859" s="319"/>
    </row>
    <row r="860" spans="3:3" x14ac:dyDescent="0.25">
      <c r="C860" s="319"/>
    </row>
    <row r="861" spans="3:3" x14ac:dyDescent="0.25">
      <c r="C861" s="319"/>
    </row>
    <row r="862" spans="3:3" x14ac:dyDescent="0.25">
      <c r="C862" s="319"/>
    </row>
    <row r="863" spans="3:3" x14ac:dyDescent="0.25">
      <c r="C863" s="319"/>
    </row>
    <row r="864" spans="3:3" x14ac:dyDescent="0.25">
      <c r="C864" s="319"/>
    </row>
    <row r="865" spans="3:3" x14ac:dyDescent="0.25">
      <c r="C865" s="319"/>
    </row>
    <row r="866" spans="3:3" x14ac:dyDescent="0.25">
      <c r="C866" s="319"/>
    </row>
    <row r="867" spans="3:3" x14ac:dyDescent="0.25">
      <c r="C867" s="319"/>
    </row>
    <row r="868" spans="3:3" x14ac:dyDescent="0.25">
      <c r="C868" s="319"/>
    </row>
    <row r="869" spans="3:3" x14ac:dyDescent="0.25">
      <c r="C869" s="319"/>
    </row>
    <row r="870" spans="3:3" x14ac:dyDescent="0.25">
      <c r="C870" s="319"/>
    </row>
    <row r="871" spans="3:3" x14ac:dyDescent="0.25">
      <c r="C871" s="319"/>
    </row>
    <row r="872" spans="3:3" x14ac:dyDescent="0.25">
      <c r="C872" s="319"/>
    </row>
    <row r="873" spans="3:3" x14ac:dyDescent="0.25">
      <c r="C873" s="319"/>
    </row>
    <row r="874" spans="3:3" x14ac:dyDescent="0.25">
      <c r="C874" s="319"/>
    </row>
    <row r="875" spans="3:3" x14ac:dyDescent="0.25">
      <c r="C875" s="319"/>
    </row>
    <row r="876" spans="3:3" x14ac:dyDescent="0.25">
      <c r="C876" s="319"/>
    </row>
    <row r="877" spans="3:3" x14ac:dyDescent="0.25">
      <c r="C877" s="319"/>
    </row>
    <row r="878" spans="3:3" x14ac:dyDescent="0.25">
      <c r="C878" s="319"/>
    </row>
    <row r="879" spans="3:3" x14ac:dyDescent="0.25">
      <c r="C879" s="319"/>
    </row>
    <row r="880" spans="3:3" x14ac:dyDescent="0.25">
      <c r="C880" s="319"/>
    </row>
    <row r="881" spans="3:3" x14ac:dyDescent="0.25">
      <c r="C881" s="319"/>
    </row>
    <row r="882" spans="3:3" x14ac:dyDescent="0.25">
      <c r="C882" s="319"/>
    </row>
    <row r="883" spans="3:3" x14ac:dyDescent="0.25">
      <c r="C883" s="319"/>
    </row>
    <row r="884" spans="3:3" x14ac:dyDescent="0.25">
      <c r="C884" s="319"/>
    </row>
    <row r="885" spans="3:3" x14ac:dyDescent="0.25">
      <c r="C885" s="319"/>
    </row>
    <row r="886" spans="3:3" x14ac:dyDescent="0.25">
      <c r="C886" s="319"/>
    </row>
    <row r="887" spans="3:3" x14ac:dyDescent="0.25">
      <c r="C887" s="319"/>
    </row>
    <row r="888" spans="3:3" x14ac:dyDescent="0.25">
      <c r="C888" s="319"/>
    </row>
    <row r="889" spans="3:3" x14ac:dyDescent="0.25">
      <c r="C889" s="319"/>
    </row>
    <row r="890" spans="3:3" x14ac:dyDescent="0.25">
      <c r="C890" s="319"/>
    </row>
    <row r="891" spans="3:3" x14ac:dyDescent="0.25">
      <c r="C891" s="319"/>
    </row>
    <row r="892" spans="3:3" x14ac:dyDescent="0.25">
      <c r="C892" s="319"/>
    </row>
    <row r="893" spans="3:3" x14ac:dyDescent="0.25">
      <c r="C893" s="319"/>
    </row>
    <row r="894" spans="3:3" x14ac:dyDescent="0.25">
      <c r="C894" s="319"/>
    </row>
    <row r="895" spans="3:3" x14ac:dyDescent="0.25">
      <c r="C895" s="319"/>
    </row>
    <row r="896" spans="3:3" x14ac:dyDescent="0.25">
      <c r="C896" s="319"/>
    </row>
    <row r="897" spans="3:3" x14ac:dyDescent="0.25">
      <c r="C897" s="319"/>
    </row>
    <row r="898" spans="3:3" x14ac:dyDescent="0.25">
      <c r="C898" s="319"/>
    </row>
    <row r="899" spans="3:3" x14ac:dyDescent="0.25">
      <c r="C899" s="319"/>
    </row>
    <row r="900" spans="3:3" x14ac:dyDescent="0.25">
      <c r="C900" s="319"/>
    </row>
    <row r="901" spans="3:3" x14ac:dyDescent="0.25">
      <c r="C901" s="319"/>
    </row>
    <row r="902" spans="3:3" x14ac:dyDescent="0.25">
      <c r="C902" s="319"/>
    </row>
    <row r="903" spans="3:3" x14ac:dyDescent="0.25">
      <c r="C903" s="319"/>
    </row>
    <row r="904" spans="3:3" x14ac:dyDescent="0.25">
      <c r="C904" s="319"/>
    </row>
    <row r="905" spans="3:3" x14ac:dyDescent="0.25">
      <c r="C905" s="319"/>
    </row>
    <row r="906" spans="3:3" x14ac:dyDescent="0.25">
      <c r="C906" s="319"/>
    </row>
    <row r="907" spans="3:3" x14ac:dyDescent="0.25">
      <c r="C907" s="319"/>
    </row>
    <row r="908" spans="3:3" x14ac:dyDescent="0.25">
      <c r="C908" s="319"/>
    </row>
    <row r="909" spans="3:3" x14ac:dyDescent="0.25">
      <c r="C909" s="319"/>
    </row>
    <row r="910" spans="3:3" x14ac:dyDescent="0.25">
      <c r="C910" s="319"/>
    </row>
    <row r="911" spans="3:3" x14ac:dyDescent="0.25">
      <c r="C911" s="319"/>
    </row>
    <row r="912" spans="3:3" x14ac:dyDescent="0.25">
      <c r="C912" s="319"/>
    </row>
    <row r="913" spans="3:3" x14ac:dyDescent="0.25">
      <c r="C913" s="319"/>
    </row>
    <row r="914" spans="3:3" x14ac:dyDescent="0.25">
      <c r="C914" s="319"/>
    </row>
    <row r="915" spans="3:3" x14ac:dyDescent="0.25">
      <c r="C915" s="319"/>
    </row>
    <row r="916" spans="3:3" x14ac:dyDescent="0.25">
      <c r="C916" s="319"/>
    </row>
    <row r="917" spans="3:3" x14ac:dyDescent="0.25">
      <c r="C917" s="319"/>
    </row>
    <row r="918" spans="3:3" x14ac:dyDescent="0.25">
      <c r="C918" s="319"/>
    </row>
    <row r="919" spans="3:3" x14ac:dyDescent="0.25">
      <c r="C919" s="319"/>
    </row>
    <row r="920" spans="3:3" x14ac:dyDescent="0.25">
      <c r="C920" s="319"/>
    </row>
    <row r="921" spans="3:3" x14ac:dyDescent="0.25">
      <c r="C921" s="319"/>
    </row>
    <row r="922" spans="3:3" x14ac:dyDescent="0.25">
      <c r="C922" s="319"/>
    </row>
    <row r="923" spans="3:3" x14ac:dyDescent="0.25">
      <c r="C923" s="319"/>
    </row>
  </sheetData>
  <hyperlinks>
    <hyperlink ref="H1" location="Schip!A1" display="Schip!A1" xr:uid="{00000000-0004-0000-0A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BV497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5.5703125" customWidth="1"/>
    <col min="2" max="2" width="19" customWidth="1"/>
    <col min="3" max="3" width="3.5703125" style="3" customWidth="1"/>
    <col min="4" max="4" width="13.5703125" customWidth="1"/>
    <col min="5" max="5" width="6.5703125" style="19" customWidth="1"/>
    <col min="6" max="6" width="3.5703125" style="3" customWidth="1"/>
    <col min="7" max="7" width="17" customWidth="1"/>
    <col min="8" max="8" width="11.140625" style="19" customWidth="1"/>
    <col min="9" max="9" width="14.85546875" customWidth="1"/>
    <col min="10" max="13" width="6.5703125" style="19" customWidth="1"/>
    <col min="14" max="14" width="3.5703125" style="3" customWidth="1"/>
    <col min="15" max="15" width="17.140625" customWidth="1"/>
    <col min="16" max="16" width="14.5703125" customWidth="1"/>
    <col min="17" max="17" width="3.5703125" style="3" customWidth="1"/>
    <col min="18" max="18" width="14.5703125" customWidth="1"/>
    <col min="19" max="19" width="18" customWidth="1"/>
    <col min="20" max="20" width="3.5703125" style="3" customWidth="1"/>
    <col min="21" max="21" width="21.5703125" style="64" customWidth="1"/>
    <col min="22" max="22" width="14" style="19" customWidth="1"/>
    <col min="23" max="23" width="20.42578125" style="64" customWidth="1"/>
    <col min="24" max="24" width="8.140625" style="19" customWidth="1"/>
    <col min="25" max="25" width="10.5703125" style="19" customWidth="1"/>
    <col min="26" max="27" width="10.42578125" style="19" customWidth="1"/>
    <col min="28" max="28" width="12.85546875" style="19" customWidth="1"/>
    <col min="29" max="29" width="23.5703125" style="64" customWidth="1"/>
    <col min="30" max="30" width="22" customWidth="1"/>
    <col min="31" max="31" width="7.140625" style="19" customWidth="1"/>
    <col min="32" max="32" width="7.42578125" style="19" customWidth="1"/>
    <col min="33" max="33" width="16.5703125" style="64" customWidth="1"/>
    <col min="34" max="34" width="12.5703125" customWidth="1"/>
    <col min="35" max="35" width="18.42578125" style="64" customWidth="1"/>
    <col min="36" max="36" width="16.42578125" customWidth="1"/>
    <col min="37" max="37" width="12.5703125" style="19" customWidth="1"/>
    <col min="38" max="38" width="10.5703125" style="19" bestFit="1" customWidth="1"/>
    <col min="39" max="39" width="16.42578125" style="64" customWidth="1"/>
    <col min="40" max="40" width="15" customWidth="1"/>
    <col min="41" max="41" width="9.85546875" customWidth="1"/>
    <col min="42" max="42" width="9.140625" style="19"/>
    <col min="43" max="43" width="3.5703125" style="3" customWidth="1"/>
    <col min="44" max="44" width="31.5703125" customWidth="1"/>
    <col min="45" max="45" width="8.5703125" style="46" customWidth="1"/>
    <col min="46" max="46" width="23.85546875" customWidth="1"/>
    <col min="47" max="50" width="8.5703125" style="46" customWidth="1"/>
    <col min="51" max="51" width="28" style="64" customWidth="1"/>
    <col min="52" max="52" width="23" customWidth="1"/>
    <col min="53" max="53" width="7.85546875" customWidth="1"/>
    <col min="54" max="54" width="15.85546875" customWidth="1"/>
    <col min="55" max="55" width="18.5703125" customWidth="1"/>
    <col min="56" max="56" width="12.140625" style="313" customWidth="1"/>
    <col min="57" max="58" width="12.140625" style="19" customWidth="1"/>
    <col min="59" max="59" width="18.5703125" style="64" customWidth="1"/>
    <col min="60" max="60" width="14.85546875" customWidth="1"/>
    <col min="61" max="61" width="15.42578125" style="64" customWidth="1"/>
    <col min="62" max="62" width="15.42578125" customWidth="1"/>
    <col min="63" max="63" width="3.5703125" style="3" customWidth="1"/>
    <col min="66" max="66" width="3.5703125" style="3" customWidth="1"/>
    <col min="67" max="67" width="17" customWidth="1"/>
    <col min="68" max="72" width="6.5703125" style="19" customWidth="1"/>
    <col min="73" max="73" width="14.85546875" style="19" customWidth="1"/>
    <col min="74" max="74" width="6.5703125" style="19" customWidth="1"/>
  </cols>
  <sheetData>
    <row r="1" spans="1:74" s="3" customFormat="1" ht="28.5" x14ac:dyDescent="0.45">
      <c r="A1" s="61" t="s">
        <v>18</v>
      </c>
      <c r="D1" s="3" t="s">
        <v>594</v>
      </c>
      <c r="E1" s="49"/>
      <c r="F1" s="289" t="s">
        <v>573</v>
      </c>
      <c r="J1" s="49"/>
      <c r="K1" s="49"/>
      <c r="L1" s="49"/>
      <c r="M1" s="49"/>
      <c r="U1" s="91"/>
      <c r="V1" s="49"/>
      <c r="W1" s="91" t="s">
        <v>839</v>
      </c>
      <c r="X1" s="49"/>
      <c r="Y1" s="49"/>
      <c r="Z1" s="444" t="s">
        <v>840</v>
      </c>
      <c r="AA1" s="49"/>
      <c r="AB1" s="49"/>
      <c r="AC1" s="91"/>
      <c r="AE1" s="49"/>
      <c r="AF1" s="49"/>
      <c r="AG1" s="91"/>
      <c r="AI1" s="91"/>
      <c r="AK1" s="49"/>
      <c r="AL1" s="49"/>
      <c r="AM1" s="91"/>
      <c r="AP1" s="49"/>
      <c r="AS1" s="50"/>
      <c r="AU1" s="50"/>
      <c r="AV1" s="50"/>
      <c r="AW1" s="50"/>
      <c r="AX1" s="50"/>
      <c r="AY1" s="91"/>
      <c r="BD1" s="338"/>
      <c r="BE1" s="49"/>
      <c r="BF1" s="49"/>
      <c r="BG1" s="91"/>
      <c r="BI1" s="91"/>
      <c r="BP1" s="49"/>
      <c r="BQ1" s="49"/>
      <c r="BR1" s="49"/>
      <c r="BS1" s="49"/>
      <c r="BT1" s="49"/>
      <c r="BU1" s="49"/>
      <c r="BV1" s="49"/>
    </row>
    <row r="2" spans="1:74" ht="26.25" x14ac:dyDescent="0.4">
      <c r="G2" s="385" t="s">
        <v>8</v>
      </c>
      <c r="I2" s="43" t="s">
        <v>78</v>
      </c>
      <c r="J2" s="19">
        <v>20</v>
      </c>
      <c r="K2" s="19">
        <v>40</v>
      </c>
      <c r="L2" s="19">
        <v>60</v>
      </c>
      <c r="M2" s="19">
        <v>80</v>
      </c>
      <c r="O2" s="43" t="s">
        <v>8</v>
      </c>
      <c r="R2" s="43" t="s">
        <v>845</v>
      </c>
      <c r="U2" s="385" t="s">
        <v>2</v>
      </c>
      <c r="X2" s="19">
        <v>10</v>
      </c>
      <c r="Y2" s="19">
        <v>20</v>
      </c>
      <c r="Z2" s="19">
        <v>40</v>
      </c>
      <c r="AA2" s="19">
        <v>60</v>
      </c>
      <c r="AB2" s="19">
        <v>80</v>
      </c>
      <c r="AC2" s="314" t="s">
        <v>0</v>
      </c>
      <c r="AE2" s="19" t="s">
        <v>311</v>
      </c>
      <c r="AF2" s="19" t="s">
        <v>461</v>
      </c>
      <c r="AI2" s="314" t="s">
        <v>6</v>
      </c>
      <c r="AK2" s="19" t="s">
        <v>330</v>
      </c>
      <c r="AL2" s="19" t="s">
        <v>461</v>
      </c>
      <c r="AM2" s="314" t="s">
        <v>7</v>
      </c>
      <c r="AP2" s="19" t="s">
        <v>461</v>
      </c>
      <c r="AR2" s="385" t="s">
        <v>287</v>
      </c>
      <c r="AS2" s="46">
        <v>10</v>
      </c>
      <c r="AU2" s="46">
        <v>20</v>
      </c>
      <c r="AV2" s="46">
        <v>40</v>
      </c>
      <c r="AW2" s="46">
        <v>60</v>
      </c>
      <c r="AX2" s="46">
        <v>80</v>
      </c>
      <c r="AY2" s="314" t="s">
        <v>132</v>
      </c>
      <c r="AZ2" s="43"/>
      <c r="BB2" s="314" t="s">
        <v>101</v>
      </c>
      <c r="BD2" s="314" t="s">
        <v>131</v>
      </c>
      <c r="BG2" s="314" t="s">
        <v>133</v>
      </c>
      <c r="BH2" s="19"/>
      <c r="BI2" s="314" t="s">
        <v>7</v>
      </c>
      <c r="BL2" s="314" t="s">
        <v>140</v>
      </c>
      <c r="BM2" s="314" t="s">
        <v>145</v>
      </c>
      <c r="BO2" s="385" t="s">
        <v>270</v>
      </c>
      <c r="BP2" s="19">
        <v>10</v>
      </c>
      <c r="BQ2" s="19">
        <v>20</v>
      </c>
      <c r="BR2" s="19">
        <v>40</v>
      </c>
      <c r="BS2" s="19">
        <v>60</v>
      </c>
      <c r="BT2" s="19">
        <v>80</v>
      </c>
      <c r="BU2" s="19" t="s">
        <v>4</v>
      </c>
    </row>
    <row r="3" spans="1:74" s="3" customFormat="1" ht="15.75" thickBot="1" x14ac:dyDescent="0.3">
      <c r="B3" s="8" t="s">
        <v>19</v>
      </c>
      <c r="C3" s="8"/>
      <c r="D3" s="8" t="s">
        <v>53</v>
      </c>
      <c r="E3" s="52"/>
      <c r="F3" s="8"/>
      <c r="G3" s="8" t="s">
        <v>71</v>
      </c>
      <c r="H3" s="52" t="s">
        <v>313</v>
      </c>
      <c r="I3" s="8" t="s">
        <v>847</v>
      </c>
      <c r="J3" s="634" t="s">
        <v>312</v>
      </c>
      <c r="K3" s="634"/>
      <c r="L3" s="634"/>
      <c r="M3" s="634"/>
      <c r="N3" s="8"/>
      <c r="O3" s="8" t="s">
        <v>81</v>
      </c>
      <c r="P3" s="8" t="s">
        <v>86</v>
      </c>
      <c r="Q3" s="8"/>
      <c r="R3" s="8" t="s">
        <v>373</v>
      </c>
      <c r="S3" s="8"/>
      <c r="T3" s="8"/>
      <c r="U3" s="92" t="s">
        <v>105</v>
      </c>
      <c r="V3" s="52" t="s">
        <v>313</v>
      </c>
      <c r="W3" s="92" t="s">
        <v>1</v>
      </c>
      <c r="X3" s="52"/>
      <c r="Y3" s="634" t="s">
        <v>312</v>
      </c>
      <c r="Z3" s="634"/>
      <c r="AA3" s="634"/>
      <c r="AB3" s="634"/>
      <c r="AC3" s="92" t="s">
        <v>4</v>
      </c>
      <c r="AD3" s="8" t="s">
        <v>106</v>
      </c>
      <c r="AE3" s="60" t="s">
        <v>309</v>
      </c>
      <c r="AF3" s="52" t="s">
        <v>310</v>
      </c>
      <c r="AG3" s="92" t="s">
        <v>101</v>
      </c>
      <c r="AH3" s="8" t="s">
        <v>107</v>
      </c>
      <c r="AI3" s="92" t="s">
        <v>120</v>
      </c>
      <c r="AJ3" s="8" t="s">
        <v>5</v>
      </c>
      <c r="AK3" s="60" t="s">
        <v>309</v>
      </c>
      <c r="AL3" s="52" t="s">
        <v>310</v>
      </c>
      <c r="AM3" s="92" t="s">
        <v>4</v>
      </c>
      <c r="AN3" s="8" t="s">
        <v>5</v>
      </c>
      <c r="AO3" s="8" t="s">
        <v>371</v>
      </c>
      <c r="AP3" s="52" t="s">
        <v>310</v>
      </c>
      <c r="AQ3" s="8"/>
      <c r="AR3" s="8" t="s">
        <v>134</v>
      </c>
      <c r="AS3" s="52" t="s">
        <v>532</v>
      </c>
      <c r="AU3" s="635" t="s">
        <v>531</v>
      </c>
      <c r="AV3" s="635"/>
      <c r="AW3" s="635"/>
      <c r="AX3" s="635"/>
      <c r="AY3" s="241" t="s">
        <v>4</v>
      </c>
      <c r="AZ3" s="35"/>
      <c r="BA3" s="35" t="s">
        <v>771</v>
      </c>
      <c r="BB3" s="35"/>
      <c r="BC3" s="35"/>
      <c r="BD3" s="91" t="s">
        <v>126</v>
      </c>
      <c r="BE3" s="35" t="s">
        <v>4</v>
      </c>
      <c r="BF3" s="35" t="s">
        <v>5</v>
      </c>
      <c r="BG3" s="241" t="s">
        <v>4</v>
      </c>
      <c r="BH3" s="35" t="s">
        <v>5</v>
      </c>
      <c r="BI3" s="92" t="s">
        <v>4</v>
      </c>
      <c r="BJ3" s="8" t="s">
        <v>5</v>
      </c>
      <c r="BK3" s="8"/>
      <c r="BL3" s="8"/>
      <c r="BM3" s="8"/>
      <c r="BN3" s="8"/>
      <c r="BO3" s="8"/>
      <c r="BP3" s="52"/>
      <c r="BQ3" s="52"/>
      <c r="BR3" s="52" t="s">
        <v>313</v>
      </c>
      <c r="BS3" s="52"/>
      <c r="BT3" s="52"/>
      <c r="BU3" s="52"/>
      <c r="BV3" s="52"/>
    </row>
    <row r="4" spans="1:74" x14ac:dyDescent="0.25">
      <c r="A4" s="447">
        <v>1</v>
      </c>
      <c r="B4" s="457" t="s">
        <v>20</v>
      </c>
      <c r="D4" s="447" t="s">
        <v>54</v>
      </c>
      <c r="E4" s="465">
        <v>1</v>
      </c>
      <c r="G4" s="511" t="s">
        <v>412</v>
      </c>
      <c r="H4" s="538" t="s">
        <v>412</v>
      </c>
      <c r="I4" s="511" t="s">
        <v>412</v>
      </c>
      <c r="J4" s="530">
        <v>0</v>
      </c>
      <c r="K4" s="530">
        <v>0</v>
      </c>
      <c r="L4" s="530">
        <v>0</v>
      </c>
      <c r="M4" s="465">
        <v>0</v>
      </c>
      <c r="O4" s="524" t="s">
        <v>407</v>
      </c>
      <c r="P4" s="470" t="s">
        <v>87</v>
      </c>
      <c r="R4" s="470" t="s">
        <v>375</v>
      </c>
      <c r="U4" s="447" t="s">
        <v>135</v>
      </c>
      <c r="V4" s="465" t="s">
        <v>328</v>
      </c>
      <c r="W4" s="521" t="s">
        <v>412</v>
      </c>
      <c r="X4" s="174">
        <v>0</v>
      </c>
      <c r="Y4" s="174">
        <v>0</v>
      </c>
      <c r="Z4" s="174">
        <v>0</v>
      </c>
      <c r="AA4" s="174">
        <v>0</v>
      </c>
      <c r="AB4" s="175">
        <v>0</v>
      </c>
      <c r="AC4" s="470" t="s">
        <v>667</v>
      </c>
      <c r="AD4" s="524" t="s">
        <v>412</v>
      </c>
      <c r="AE4" s="476">
        <v>3</v>
      </c>
      <c r="AG4" s="470" t="s">
        <v>753</v>
      </c>
      <c r="AH4" s="456" t="s">
        <v>108</v>
      </c>
      <c r="AI4" s="470" t="s">
        <v>82</v>
      </c>
      <c r="AJ4" s="457" t="s">
        <v>123</v>
      </c>
      <c r="AK4" s="525" t="s">
        <v>412</v>
      </c>
      <c r="AM4" s="470" t="s">
        <v>139</v>
      </c>
      <c r="AN4" s="447" t="s">
        <v>331</v>
      </c>
      <c r="AO4" s="470">
        <v>10</v>
      </c>
      <c r="AR4" s="447" t="s">
        <v>135</v>
      </c>
      <c r="AS4" s="448" t="s">
        <v>328</v>
      </c>
      <c r="AT4" s="511" t="s">
        <v>412</v>
      </c>
      <c r="AU4" s="449">
        <v>0</v>
      </c>
      <c r="AV4" s="449">
        <v>0</v>
      </c>
      <c r="AW4" s="449">
        <v>0</v>
      </c>
      <c r="AX4" s="450">
        <v>0</v>
      </c>
      <c r="AY4" s="457" t="s">
        <v>667</v>
      </c>
      <c r="AZ4" s="470" t="s">
        <v>663</v>
      </c>
      <c r="BB4" s="470" t="s">
        <v>753</v>
      </c>
      <c r="BC4" s="457" t="s">
        <v>108</v>
      </c>
      <c r="BD4" s="19" t="s">
        <v>333</v>
      </c>
      <c r="BE4" s="478" t="s">
        <v>559</v>
      </c>
      <c r="BF4" s="476" t="s">
        <v>334</v>
      </c>
      <c r="BG4" s="470" t="s">
        <v>112</v>
      </c>
      <c r="BH4" s="470" t="s">
        <v>770</v>
      </c>
      <c r="BI4" s="470" t="s">
        <v>139</v>
      </c>
      <c r="BJ4" s="470" t="s">
        <v>767</v>
      </c>
      <c r="BL4" s="470" t="s">
        <v>141</v>
      </c>
      <c r="BM4" s="473" t="s">
        <v>146</v>
      </c>
      <c r="BO4" s="493" t="s">
        <v>407</v>
      </c>
      <c r="BP4" s="494" t="s">
        <v>412</v>
      </c>
      <c r="BQ4" s="494" t="s">
        <v>412</v>
      </c>
      <c r="BR4" s="494" t="s">
        <v>412</v>
      </c>
      <c r="BS4" s="494" t="s">
        <v>412</v>
      </c>
      <c r="BT4" s="495" t="s">
        <v>412</v>
      </c>
      <c r="BU4" s="305"/>
      <c r="BV4" s="305"/>
    </row>
    <row r="5" spans="1:74" x14ac:dyDescent="0.25">
      <c r="A5" s="285">
        <f>+A4+1</f>
        <v>2</v>
      </c>
      <c r="B5" s="286" t="s">
        <v>21</v>
      </c>
      <c r="D5" s="285" t="s">
        <v>55</v>
      </c>
      <c r="E5" s="466">
        <v>2</v>
      </c>
      <c r="G5" s="285" t="s">
        <v>75</v>
      </c>
      <c r="H5" s="466">
        <v>15</v>
      </c>
      <c r="I5" s="285" t="s">
        <v>3</v>
      </c>
      <c r="J5" s="19">
        <v>20</v>
      </c>
      <c r="K5" s="19">
        <v>40</v>
      </c>
      <c r="L5" s="19">
        <v>60</v>
      </c>
      <c r="M5" s="466">
        <v>80</v>
      </c>
      <c r="O5" s="471" t="s">
        <v>82</v>
      </c>
      <c r="P5" s="471" t="s">
        <v>88</v>
      </c>
      <c r="R5" s="471" t="s">
        <v>376</v>
      </c>
      <c r="U5" s="285" t="s">
        <v>134</v>
      </c>
      <c r="V5" s="466" t="s">
        <v>372</v>
      </c>
      <c r="W5" s="64" t="s">
        <v>138</v>
      </c>
      <c r="X5" s="18"/>
      <c r="Y5" s="18" t="s">
        <v>314</v>
      </c>
      <c r="Z5" s="18"/>
      <c r="AA5" s="18"/>
      <c r="AB5" s="176"/>
      <c r="AC5" s="471" t="s">
        <v>668</v>
      </c>
      <c r="AD5" s="471" t="s">
        <v>663</v>
      </c>
      <c r="AE5" s="477">
        <v>4</v>
      </c>
      <c r="AG5" s="471" t="s">
        <v>754</v>
      </c>
      <c r="AH5" t="s">
        <v>109</v>
      </c>
      <c r="AI5" s="471" t="s">
        <v>111</v>
      </c>
      <c r="AJ5" s="286" t="s">
        <v>124</v>
      </c>
      <c r="AK5" s="477" t="s">
        <v>630</v>
      </c>
      <c r="AM5" s="471" t="s">
        <v>413</v>
      </c>
      <c r="AN5" s="285" t="s">
        <v>345</v>
      </c>
      <c r="AO5" s="471">
        <v>11</v>
      </c>
      <c r="AR5" s="285" t="s">
        <v>305</v>
      </c>
      <c r="AS5" s="46" t="s">
        <v>316</v>
      </c>
      <c r="AT5" s="285" t="s">
        <v>288</v>
      </c>
      <c r="AU5" s="46" t="s">
        <v>533</v>
      </c>
      <c r="AV5" s="452" t="s">
        <v>412</v>
      </c>
      <c r="AW5" s="452" t="s">
        <v>412</v>
      </c>
      <c r="AX5" s="453" t="s">
        <v>412</v>
      </c>
      <c r="AY5" s="286" t="s">
        <v>668</v>
      </c>
      <c r="AZ5" s="471" t="s">
        <v>119</v>
      </c>
      <c r="BB5" s="471" t="s">
        <v>754</v>
      </c>
      <c r="BC5" s="286" t="s">
        <v>109</v>
      </c>
      <c r="BD5" s="19" t="s">
        <v>335</v>
      </c>
      <c r="BE5" s="458" t="s">
        <v>560</v>
      </c>
      <c r="BF5" s="477" t="s">
        <v>336</v>
      </c>
      <c r="BG5" s="471" t="s">
        <v>113</v>
      </c>
      <c r="BH5" s="471" t="s">
        <v>110</v>
      </c>
      <c r="BI5" s="471" t="s">
        <v>413</v>
      </c>
      <c r="BJ5" s="471" t="s">
        <v>768</v>
      </c>
      <c r="BL5" s="471" t="s">
        <v>142</v>
      </c>
      <c r="BM5" s="474" t="s">
        <v>147</v>
      </c>
      <c r="BO5" s="285" t="s">
        <v>695</v>
      </c>
      <c r="BP5" s="19">
        <v>34</v>
      </c>
      <c r="BQ5" s="305" t="s">
        <v>412</v>
      </c>
      <c r="BR5" s="305" t="s">
        <v>412</v>
      </c>
      <c r="BS5" s="305" t="s">
        <v>412</v>
      </c>
      <c r="BT5" s="472" t="s">
        <v>412</v>
      </c>
    </row>
    <row r="6" spans="1:74" x14ac:dyDescent="0.25">
      <c r="A6" s="285">
        <f t="shared" ref="A6:A48" si="0">+A5+1</f>
        <v>3</v>
      </c>
      <c r="B6" s="286" t="s">
        <v>22</v>
      </c>
      <c r="D6" s="285" t="s">
        <v>56</v>
      </c>
      <c r="E6" s="466">
        <v>3</v>
      </c>
      <c r="G6" s="285" t="s">
        <v>73</v>
      </c>
      <c r="H6" s="466">
        <v>10</v>
      </c>
      <c r="I6" s="285" t="s">
        <v>76</v>
      </c>
      <c r="J6" s="19">
        <v>30</v>
      </c>
      <c r="K6" s="19">
        <v>50</v>
      </c>
      <c r="L6" s="19">
        <v>70</v>
      </c>
      <c r="M6" s="466">
        <v>90</v>
      </c>
      <c r="O6" s="471" t="s">
        <v>649</v>
      </c>
      <c r="P6" s="471" t="s">
        <v>90</v>
      </c>
      <c r="R6" s="471" t="s">
        <v>377</v>
      </c>
      <c r="U6" s="285" t="s">
        <v>643</v>
      </c>
      <c r="V6" s="466" t="s">
        <v>329</v>
      </c>
      <c r="W6" s="279" t="s">
        <v>644</v>
      </c>
      <c r="X6" s="18"/>
      <c r="Y6" s="18" t="s">
        <v>314</v>
      </c>
      <c r="Z6" s="18"/>
      <c r="AA6" s="18"/>
      <c r="AB6" s="176"/>
      <c r="AC6" s="471" t="s">
        <v>669</v>
      </c>
      <c r="AD6" s="471" t="s">
        <v>119</v>
      </c>
      <c r="AE6" s="477">
        <v>5</v>
      </c>
      <c r="AG6" s="471" t="s">
        <v>755</v>
      </c>
      <c r="AH6" t="s">
        <v>625</v>
      </c>
      <c r="AI6" s="471" t="s">
        <v>121</v>
      </c>
      <c r="AJ6" s="286" t="s">
        <v>125</v>
      </c>
      <c r="AK6" s="477" t="s">
        <v>609</v>
      </c>
      <c r="AM6" s="471" t="s">
        <v>414</v>
      </c>
      <c r="AN6" s="285" t="s">
        <v>332</v>
      </c>
      <c r="AO6" s="471">
        <v>13</v>
      </c>
      <c r="AR6" s="285" t="s">
        <v>134</v>
      </c>
      <c r="AS6" s="46" t="s">
        <v>372</v>
      </c>
      <c r="AT6" s="285" t="s">
        <v>289</v>
      </c>
      <c r="AU6" s="46" t="s">
        <v>534</v>
      </c>
      <c r="AV6" s="452" t="s">
        <v>412</v>
      </c>
      <c r="AW6" s="452" t="s">
        <v>412</v>
      </c>
      <c r="AX6" s="453" t="s">
        <v>412</v>
      </c>
      <c r="AY6" s="286" t="s">
        <v>669</v>
      </c>
      <c r="AZ6" s="471" t="s">
        <v>670</v>
      </c>
      <c r="BB6" s="471" t="s">
        <v>755</v>
      </c>
      <c r="BC6" s="286" t="s">
        <v>625</v>
      </c>
      <c r="BD6" s="19" t="s">
        <v>337</v>
      </c>
      <c r="BE6" s="458" t="s">
        <v>841</v>
      </c>
      <c r="BF6" s="477" t="s">
        <v>338</v>
      </c>
      <c r="BG6" s="471" t="s">
        <v>114</v>
      </c>
      <c r="BH6" s="481" t="s">
        <v>412</v>
      </c>
      <c r="BI6" s="471" t="s">
        <v>414</v>
      </c>
      <c r="BJ6" s="471" t="s">
        <v>769</v>
      </c>
      <c r="BL6" s="471" t="s">
        <v>143</v>
      </c>
      <c r="BM6" s="475" t="s">
        <v>148</v>
      </c>
      <c r="BO6" s="285" t="s">
        <v>690</v>
      </c>
      <c r="BP6" s="19">
        <v>26</v>
      </c>
      <c r="BQ6" s="305" t="s">
        <v>412</v>
      </c>
      <c r="BR6" s="305" t="s">
        <v>412</v>
      </c>
      <c r="BS6" s="305" t="s">
        <v>412</v>
      </c>
      <c r="BT6" s="472" t="s">
        <v>412</v>
      </c>
    </row>
    <row r="7" spans="1:74" ht="15.75" thickBot="1" x14ac:dyDescent="0.3">
      <c r="A7" s="285">
        <f t="shared" si="0"/>
        <v>4</v>
      </c>
      <c r="B7" s="286" t="s">
        <v>23</v>
      </c>
      <c r="D7" s="460" t="s">
        <v>61</v>
      </c>
      <c r="E7" s="467">
        <v>4</v>
      </c>
      <c r="G7" s="285" t="s">
        <v>74</v>
      </c>
      <c r="H7" s="466">
        <v>12</v>
      </c>
      <c r="I7" s="285" t="s">
        <v>77</v>
      </c>
      <c r="J7" s="19">
        <v>22</v>
      </c>
      <c r="K7" s="19">
        <v>42</v>
      </c>
      <c r="L7" s="19">
        <v>62</v>
      </c>
      <c r="M7" s="466">
        <v>82</v>
      </c>
      <c r="O7" s="471" t="s">
        <v>650</v>
      </c>
      <c r="P7" s="471" t="s">
        <v>91</v>
      </c>
      <c r="R7" s="471" t="s">
        <v>381</v>
      </c>
      <c r="U7" s="486" t="s">
        <v>412</v>
      </c>
      <c r="V7" s="512">
        <v>0</v>
      </c>
      <c r="W7" s="279" t="s">
        <v>305</v>
      </c>
      <c r="X7" s="18"/>
      <c r="Y7" s="18" t="s">
        <v>316</v>
      </c>
      <c r="Z7" s="18"/>
      <c r="AA7" s="18"/>
      <c r="AB7" s="176"/>
      <c r="AC7" s="471" t="s">
        <v>113</v>
      </c>
      <c r="AD7" s="471" t="s">
        <v>670</v>
      </c>
      <c r="AE7" s="477">
        <v>6</v>
      </c>
      <c r="AG7" s="471" t="s">
        <v>756</v>
      </c>
      <c r="AH7" s="528" t="s">
        <v>412</v>
      </c>
      <c r="AI7" s="471" t="s">
        <v>112</v>
      </c>
      <c r="AJ7" s="286" t="s">
        <v>410</v>
      </c>
      <c r="AK7" s="477" t="s">
        <v>631</v>
      </c>
      <c r="AM7" s="471" t="s">
        <v>370</v>
      </c>
      <c r="AN7" s="486" t="s">
        <v>412</v>
      </c>
      <c r="AO7" s="471">
        <v>16</v>
      </c>
      <c r="AR7" s="285" t="s">
        <v>137</v>
      </c>
      <c r="AS7" s="46" t="s">
        <v>316</v>
      </c>
      <c r="AT7" s="285" t="s">
        <v>290</v>
      </c>
      <c r="AU7" s="46" t="s">
        <v>534</v>
      </c>
      <c r="AV7" s="452" t="s">
        <v>412</v>
      </c>
      <c r="AW7" s="452" t="s">
        <v>412</v>
      </c>
      <c r="AX7" s="453" t="s">
        <v>412</v>
      </c>
      <c r="AY7" s="286" t="s">
        <v>113</v>
      </c>
      <c r="AZ7" s="471" t="s">
        <v>671</v>
      </c>
      <c r="BB7" s="471" t="s">
        <v>756</v>
      </c>
      <c r="BC7" s="488" t="s">
        <v>412</v>
      </c>
      <c r="BD7" s="19" t="s">
        <v>339</v>
      </c>
      <c r="BE7" s="458" t="s">
        <v>842</v>
      </c>
      <c r="BF7" s="477" t="s">
        <v>340</v>
      </c>
      <c r="BG7" s="471" t="s">
        <v>84</v>
      </c>
      <c r="BH7" s="482" t="s">
        <v>412</v>
      </c>
      <c r="BI7" s="471" t="s">
        <v>370</v>
      </c>
      <c r="BJ7" s="481" t="s">
        <v>412</v>
      </c>
      <c r="BL7" s="471" t="s">
        <v>144</v>
      </c>
      <c r="BM7" s="471" t="s">
        <v>382</v>
      </c>
      <c r="BO7" s="468" t="s">
        <v>696</v>
      </c>
      <c r="BP7" s="305">
        <v>23</v>
      </c>
      <c r="BQ7" s="305" t="s">
        <v>412</v>
      </c>
      <c r="BR7" s="305" t="s">
        <v>412</v>
      </c>
      <c r="BS7" s="305" t="s">
        <v>412</v>
      </c>
      <c r="BT7" s="472" t="s">
        <v>412</v>
      </c>
    </row>
    <row r="8" spans="1:74" ht="15.75" thickBot="1" x14ac:dyDescent="0.3">
      <c r="A8" s="285">
        <f t="shared" si="0"/>
        <v>5</v>
      </c>
      <c r="B8" s="286" t="s">
        <v>24</v>
      </c>
      <c r="G8" s="486" t="s">
        <v>407</v>
      </c>
      <c r="H8" s="512">
        <v>0</v>
      </c>
      <c r="I8" s="285" t="s">
        <v>79</v>
      </c>
      <c r="J8" s="19">
        <v>24</v>
      </c>
      <c r="K8" s="19">
        <v>44</v>
      </c>
      <c r="L8" s="19">
        <v>64</v>
      </c>
      <c r="M8" s="466">
        <v>84</v>
      </c>
      <c r="O8" s="471" t="s">
        <v>651</v>
      </c>
      <c r="P8" s="471" t="s">
        <v>404</v>
      </c>
      <c r="R8" s="471" t="s">
        <v>374</v>
      </c>
      <c r="U8" s="489" t="s">
        <v>412</v>
      </c>
      <c r="V8" s="513">
        <v>0</v>
      </c>
      <c r="W8" s="279" t="s">
        <v>137</v>
      </c>
      <c r="X8" s="18"/>
      <c r="Y8" s="18" t="s">
        <v>316</v>
      </c>
      <c r="Z8" s="18"/>
      <c r="AA8" s="18"/>
      <c r="AB8" s="176"/>
      <c r="AC8" s="471" t="s">
        <v>675</v>
      </c>
      <c r="AD8" s="471" t="s">
        <v>671</v>
      </c>
      <c r="AE8" s="477">
        <v>7</v>
      </c>
      <c r="AG8" s="471" t="s">
        <v>757</v>
      </c>
      <c r="AH8" s="529" t="s">
        <v>412</v>
      </c>
      <c r="AI8" s="471" t="s">
        <v>114</v>
      </c>
      <c r="AJ8" s="286" t="s">
        <v>122</v>
      </c>
      <c r="AK8" s="477" t="s">
        <v>608</v>
      </c>
      <c r="AM8" s="483" t="s">
        <v>412</v>
      </c>
      <c r="AN8" s="486" t="s">
        <v>412</v>
      </c>
      <c r="AO8" s="471">
        <v>20</v>
      </c>
      <c r="AR8" s="285" t="s">
        <v>136</v>
      </c>
      <c r="AS8" s="46" t="s">
        <v>846</v>
      </c>
      <c r="AT8" s="285" t="s">
        <v>291</v>
      </c>
      <c r="AU8" s="46" t="s">
        <v>786</v>
      </c>
      <c r="AV8" s="452" t="s">
        <v>412</v>
      </c>
      <c r="AW8" s="452" t="s">
        <v>412</v>
      </c>
      <c r="AX8" s="453" t="s">
        <v>412</v>
      </c>
      <c r="AY8" s="286" t="s">
        <v>112</v>
      </c>
      <c r="AZ8" s="471" t="s">
        <v>665</v>
      </c>
      <c r="BB8" s="471" t="s">
        <v>757</v>
      </c>
      <c r="BC8" s="491" t="s">
        <v>412</v>
      </c>
      <c r="BD8" s="19" t="s">
        <v>341</v>
      </c>
      <c r="BE8" s="458" t="s">
        <v>843</v>
      </c>
      <c r="BF8" s="477" t="s">
        <v>342</v>
      </c>
      <c r="BG8" s="471" t="s">
        <v>127</v>
      </c>
      <c r="BI8" s="471" t="s">
        <v>113</v>
      </c>
      <c r="BJ8" s="482" t="s">
        <v>407</v>
      </c>
      <c r="BL8" s="471" t="s">
        <v>568</v>
      </c>
      <c r="BM8" s="484" t="s">
        <v>412</v>
      </c>
      <c r="BO8" s="285" t="s">
        <v>697</v>
      </c>
      <c r="BP8" s="19">
        <v>23</v>
      </c>
      <c r="BQ8" s="305" t="s">
        <v>412</v>
      </c>
      <c r="BR8" s="305" t="s">
        <v>412</v>
      </c>
      <c r="BS8" s="305" t="s">
        <v>412</v>
      </c>
      <c r="BT8" s="472" t="s">
        <v>412</v>
      </c>
      <c r="BU8" s="305"/>
      <c r="BV8" s="305"/>
    </row>
    <row r="9" spans="1:74" ht="15.75" thickBot="1" x14ac:dyDescent="0.3">
      <c r="A9" s="285">
        <f t="shared" si="0"/>
        <v>6</v>
      </c>
      <c r="B9" s="286" t="s">
        <v>69</v>
      </c>
      <c r="G9" s="489" t="s">
        <v>412</v>
      </c>
      <c r="H9" s="513">
        <v>0</v>
      </c>
      <c r="I9" s="285" t="s">
        <v>94</v>
      </c>
      <c r="J9" s="19">
        <v>24</v>
      </c>
      <c r="K9" s="19">
        <v>44</v>
      </c>
      <c r="L9" s="19">
        <v>64</v>
      </c>
      <c r="M9" s="466">
        <v>84</v>
      </c>
      <c r="O9" s="471" t="s">
        <v>646</v>
      </c>
      <c r="P9" s="471" t="s">
        <v>89</v>
      </c>
      <c r="R9" s="471" t="s">
        <v>378</v>
      </c>
      <c r="W9" s="279" t="s">
        <v>136</v>
      </c>
      <c r="X9" s="18"/>
      <c r="Y9" s="18" t="s">
        <v>846</v>
      </c>
      <c r="Z9" s="18"/>
      <c r="AA9" s="18"/>
      <c r="AB9" s="176"/>
      <c r="AC9" s="483" t="s">
        <v>412</v>
      </c>
      <c r="AD9" s="471" t="s">
        <v>665</v>
      </c>
      <c r="AE9" s="477">
        <v>8</v>
      </c>
      <c r="AG9" s="471" t="s">
        <v>758</v>
      </c>
      <c r="AI9" s="471" t="s">
        <v>84</v>
      </c>
      <c r="AJ9" s="286" t="s">
        <v>133</v>
      </c>
      <c r="AK9" s="477" t="s">
        <v>607</v>
      </c>
      <c r="AM9" s="483" t="s">
        <v>412</v>
      </c>
      <c r="AN9" s="486" t="s">
        <v>412</v>
      </c>
      <c r="AO9" s="471">
        <v>22</v>
      </c>
      <c r="AR9" s="285" t="s">
        <v>652</v>
      </c>
      <c r="AS9" s="46" t="s">
        <v>658</v>
      </c>
      <c r="AT9" s="285" t="s">
        <v>684</v>
      </c>
      <c r="AU9" s="46" t="s">
        <v>787</v>
      </c>
      <c r="AV9" s="452" t="s">
        <v>412</v>
      </c>
      <c r="AW9" s="452" t="s">
        <v>412</v>
      </c>
      <c r="AX9" s="453" t="s">
        <v>412</v>
      </c>
      <c r="AY9" s="286" t="s">
        <v>114</v>
      </c>
      <c r="AZ9" s="471" t="s">
        <v>664</v>
      </c>
      <c r="BB9" s="471" t="s">
        <v>758</v>
      </c>
      <c r="BD9" s="313" t="s">
        <v>343</v>
      </c>
      <c r="BE9" s="458" t="s">
        <v>561</v>
      </c>
      <c r="BF9" s="477" t="s">
        <v>344</v>
      </c>
      <c r="BG9" s="471" t="s">
        <v>679</v>
      </c>
      <c r="BI9" s="481" t="s">
        <v>412</v>
      </c>
      <c r="BL9" s="484" t="s">
        <v>412</v>
      </c>
      <c r="BO9" s="285" t="s">
        <v>744</v>
      </c>
      <c r="BP9" s="19">
        <v>21</v>
      </c>
      <c r="BQ9" s="305" t="s">
        <v>412</v>
      </c>
      <c r="BR9" s="305" t="s">
        <v>412</v>
      </c>
      <c r="BS9" s="305" t="s">
        <v>412</v>
      </c>
      <c r="BT9" s="472" t="s">
        <v>412</v>
      </c>
    </row>
    <row r="10" spans="1:74" ht="15.75" thickBot="1" x14ac:dyDescent="0.3">
      <c r="A10" s="285">
        <f t="shared" si="0"/>
        <v>7</v>
      </c>
      <c r="B10" s="286" t="s">
        <v>26</v>
      </c>
      <c r="I10" s="486" t="s">
        <v>412</v>
      </c>
      <c r="J10" s="531">
        <v>0</v>
      </c>
      <c r="K10" s="531">
        <v>0</v>
      </c>
      <c r="L10" s="531">
        <v>0</v>
      </c>
      <c r="M10" s="512">
        <v>0</v>
      </c>
      <c r="O10" s="471" t="s">
        <v>871</v>
      </c>
      <c r="P10" s="483" t="s">
        <v>880</v>
      </c>
      <c r="R10" s="471" t="s">
        <v>379</v>
      </c>
      <c r="W10" s="279" t="s">
        <v>652</v>
      </c>
      <c r="X10" s="18"/>
      <c r="Y10" s="18" t="s">
        <v>658</v>
      </c>
      <c r="Z10" s="18"/>
      <c r="AA10" s="18"/>
      <c r="AB10" s="176"/>
      <c r="AC10" s="483" t="s">
        <v>412</v>
      </c>
      <c r="AD10" s="471" t="s">
        <v>664</v>
      </c>
      <c r="AE10" s="477">
        <v>10</v>
      </c>
      <c r="AG10" s="483" t="s">
        <v>412</v>
      </c>
      <c r="AI10" s="471" t="s">
        <v>127</v>
      </c>
      <c r="AJ10" s="580" t="s">
        <v>412</v>
      </c>
      <c r="AK10" s="477" t="s">
        <v>606</v>
      </c>
      <c r="AM10" s="484" t="s">
        <v>412</v>
      </c>
      <c r="AN10" s="489" t="s">
        <v>412</v>
      </c>
      <c r="AO10" s="471">
        <v>24</v>
      </c>
      <c r="AR10" s="285" t="s">
        <v>304</v>
      </c>
      <c r="AS10" s="452" t="s">
        <v>553</v>
      </c>
      <c r="AT10" s="285" t="s">
        <v>292</v>
      </c>
      <c r="AU10" s="46" t="s">
        <v>535</v>
      </c>
      <c r="AV10" s="46" t="s">
        <v>541</v>
      </c>
      <c r="AW10" s="46" t="s">
        <v>542</v>
      </c>
      <c r="AX10" s="451" t="s">
        <v>543</v>
      </c>
      <c r="AY10" s="286" t="s">
        <v>84</v>
      </c>
      <c r="AZ10" s="471" t="s">
        <v>118</v>
      </c>
      <c r="BB10" s="471" t="s">
        <v>774</v>
      </c>
      <c r="BE10" s="458" t="s">
        <v>562</v>
      </c>
      <c r="BF10" s="477" t="s">
        <v>565</v>
      </c>
      <c r="BG10" s="471" t="s">
        <v>835</v>
      </c>
      <c r="BI10" s="482" t="s">
        <v>412</v>
      </c>
      <c r="BO10" s="285" t="s">
        <v>698</v>
      </c>
      <c r="BP10" s="487" t="s">
        <v>412</v>
      </c>
      <c r="BQ10" s="305" t="s">
        <v>412</v>
      </c>
      <c r="BR10" s="305" t="s">
        <v>412</v>
      </c>
      <c r="BS10" s="305" t="s">
        <v>412</v>
      </c>
      <c r="BT10" s="472" t="s">
        <v>412</v>
      </c>
    </row>
    <row r="11" spans="1:74" ht="15.75" thickBot="1" x14ac:dyDescent="0.3">
      <c r="A11" s="285">
        <f t="shared" si="0"/>
        <v>8</v>
      </c>
      <c r="B11" s="286" t="s">
        <v>25</v>
      </c>
      <c r="I11" s="486" t="s">
        <v>412</v>
      </c>
      <c r="J11" s="531">
        <v>0</v>
      </c>
      <c r="K11" s="531">
        <v>0</v>
      </c>
      <c r="L11" s="531">
        <v>0</v>
      </c>
      <c r="M11" s="512">
        <v>0</v>
      </c>
      <c r="O11" s="471" t="s">
        <v>151</v>
      </c>
      <c r="P11" s="484" t="s">
        <v>412</v>
      </c>
      <c r="R11" s="471" t="s">
        <v>380</v>
      </c>
      <c r="W11" s="279" t="s">
        <v>703</v>
      </c>
      <c r="X11" s="18"/>
      <c r="Y11" s="18" t="s">
        <v>315</v>
      </c>
      <c r="Z11" s="18" t="s">
        <v>319</v>
      </c>
      <c r="AA11" s="18" t="s">
        <v>322</v>
      </c>
      <c r="AB11" s="176" t="s">
        <v>325</v>
      </c>
      <c r="AC11" s="484" t="s">
        <v>412</v>
      </c>
      <c r="AD11" s="471" t="s">
        <v>118</v>
      </c>
      <c r="AE11" s="477">
        <v>11</v>
      </c>
      <c r="AG11" s="483" t="s">
        <v>412</v>
      </c>
      <c r="AI11" s="471" t="s">
        <v>679</v>
      </c>
      <c r="AJ11" s="581" t="s">
        <v>412</v>
      </c>
      <c r="AK11" s="477" t="s">
        <v>605</v>
      </c>
      <c r="AO11" s="471">
        <v>27</v>
      </c>
      <c r="AR11" s="500" t="s">
        <v>412</v>
      </c>
      <c r="AS11" s="507">
        <v>0</v>
      </c>
      <c r="AT11" s="285" t="s">
        <v>293</v>
      </c>
      <c r="AU11" s="46" t="s">
        <v>536</v>
      </c>
      <c r="AV11" s="46" t="s">
        <v>540</v>
      </c>
      <c r="AW11" s="46" t="s">
        <v>544</v>
      </c>
      <c r="AX11" s="451" t="s">
        <v>545</v>
      </c>
      <c r="AY11" s="286" t="s">
        <v>127</v>
      </c>
      <c r="AZ11" s="497" t="s">
        <v>110</v>
      </c>
      <c r="BB11" s="471" t="s">
        <v>775</v>
      </c>
      <c r="BE11" s="458" t="s">
        <v>563</v>
      </c>
      <c r="BF11" s="477" t="s">
        <v>566</v>
      </c>
      <c r="BG11" s="481" t="s">
        <v>412</v>
      </c>
      <c r="BO11" s="285" t="s">
        <v>699</v>
      </c>
      <c r="BP11" s="487" t="s">
        <v>412</v>
      </c>
      <c r="BQ11" s="305" t="s">
        <v>412</v>
      </c>
      <c r="BR11" s="305" t="s">
        <v>412</v>
      </c>
      <c r="BS11" s="305" t="s">
        <v>412</v>
      </c>
      <c r="BT11" s="472" t="s">
        <v>412</v>
      </c>
    </row>
    <row r="12" spans="1:74" ht="15.75" thickBot="1" x14ac:dyDescent="0.3">
      <c r="A12" s="285">
        <f t="shared" si="0"/>
        <v>9</v>
      </c>
      <c r="B12" s="286" t="s">
        <v>27</v>
      </c>
      <c r="I12" s="489" t="s">
        <v>412</v>
      </c>
      <c r="J12" s="532">
        <v>0</v>
      </c>
      <c r="K12" s="532">
        <v>0</v>
      </c>
      <c r="L12" s="532">
        <v>0</v>
      </c>
      <c r="M12" s="513">
        <v>0</v>
      </c>
      <c r="O12" s="471" t="s">
        <v>383</v>
      </c>
      <c r="R12" s="471" t="s">
        <v>284</v>
      </c>
      <c r="W12" s="279" t="s">
        <v>657</v>
      </c>
      <c r="X12" s="18"/>
      <c r="Y12" s="18" t="s">
        <v>317</v>
      </c>
      <c r="Z12" s="18" t="s">
        <v>320</v>
      </c>
      <c r="AA12" s="18" t="s">
        <v>323</v>
      </c>
      <c r="AB12" s="176" t="s">
        <v>326</v>
      </c>
      <c r="AC12"/>
      <c r="AD12" s="471" t="s">
        <v>677</v>
      </c>
      <c r="AE12" s="477">
        <v>12</v>
      </c>
      <c r="AG12" s="484" t="s">
        <v>412</v>
      </c>
      <c r="AI12" s="471" t="s">
        <v>113</v>
      </c>
      <c r="AJ12" s="93"/>
      <c r="AK12" s="477" t="s">
        <v>604</v>
      </c>
      <c r="AO12" s="471">
        <v>30</v>
      </c>
      <c r="AT12" s="285" t="s">
        <v>784</v>
      </c>
      <c r="AU12" s="452" t="s">
        <v>412</v>
      </c>
      <c r="AV12" s="46" t="s">
        <v>788</v>
      </c>
      <c r="AW12" s="46" t="s">
        <v>789</v>
      </c>
      <c r="AX12" s="451" t="s">
        <v>790</v>
      </c>
      <c r="AY12" s="286" t="s">
        <v>679</v>
      </c>
      <c r="AZ12" s="497" t="s">
        <v>770</v>
      </c>
      <c r="BB12" s="471" t="s">
        <v>778</v>
      </c>
      <c r="BE12" s="458" t="s">
        <v>564</v>
      </c>
      <c r="BF12" s="477" t="s">
        <v>716</v>
      </c>
      <c r="BG12" s="482" t="s">
        <v>412</v>
      </c>
      <c r="BI12" s="64" t="s">
        <v>844</v>
      </c>
      <c r="BO12" s="492" t="s">
        <v>412</v>
      </c>
      <c r="BP12" s="490" t="s">
        <v>412</v>
      </c>
      <c r="BQ12" s="490" t="s">
        <v>412</v>
      </c>
      <c r="BR12" s="490" t="s">
        <v>412</v>
      </c>
      <c r="BS12" s="490" t="s">
        <v>412</v>
      </c>
      <c r="BT12" s="491" t="s">
        <v>412</v>
      </c>
      <c r="BU12" s="305"/>
      <c r="BV12" s="305"/>
    </row>
    <row r="13" spans="1:74" x14ac:dyDescent="0.25">
      <c r="A13" s="285">
        <f t="shared" si="0"/>
        <v>10</v>
      </c>
      <c r="B13" s="286" t="s">
        <v>28</v>
      </c>
      <c r="O13" s="471" t="s">
        <v>384</v>
      </c>
      <c r="R13" s="471" t="s">
        <v>382</v>
      </c>
      <c r="W13" s="279" t="s">
        <v>655</v>
      </c>
      <c r="X13" s="18"/>
      <c r="Y13" s="18" t="s">
        <v>656</v>
      </c>
      <c r="Z13" s="18" t="s">
        <v>747</v>
      </c>
      <c r="AA13" s="18" t="s">
        <v>748</v>
      </c>
      <c r="AB13" s="176" t="s">
        <v>749</v>
      </c>
      <c r="AC13"/>
      <c r="AD13" s="522" t="s">
        <v>674</v>
      </c>
      <c r="AE13" s="477">
        <v>13</v>
      </c>
      <c r="AI13" s="483" t="s">
        <v>412</v>
      </c>
      <c r="AJ13" s="93"/>
      <c r="AK13" s="477" t="s">
        <v>603</v>
      </c>
      <c r="AO13" s="471">
        <v>36</v>
      </c>
      <c r="AT13" s="285" t="s">
        <v>785</v>
      </c>
      <c r="AU13" s="452" t="s">
        <v>412</v>
      </c>
      <c r="AV13" s="46" t="s">
        <v>791</v>
      </c>
      <c r="AW13" s="46" t="s">
        <v>792</v>
      </c>
      <c r="AX13" s="451" t="s">
        <v>793</v>
      </c>
      <c r="AY13" s="503" t="s">
        <v>407</v>
      </c>
      <c r="AZ13" s="498" t="s">
        <v>407</v>
      </c>
      <c r="BB13" s="483" t="s">
        <v>412</v>
      </c>
      <c r="BE13" s="458" t="s">
        <v>82</v>
      </c>
      <c r="BF13" s="477" t="s">
        <v>717</v>
      </c>
      <c r="BG13"/>
      <c r="BI13" s="485" t="s">
        <v>407</v>
      </c>
      <c r="BO13" s="486" t="s">
        <v>412</v>
      </c>
      <c r="BP13" s="487" t="s">
        <v>412</v>
      </c>
      <c r="BQ13" s="487" t="s">
        <v>412</v>
      </c>
      <c r="BR13" s="487" t="s">
        <v>412</v>
      </c>
      <c r="BS13" s="487" t="s">
        <v>412</v>
      </c>
      <c r="BT13" s="488" t="s">
        <v>412</v>
      </c>
      <c r="BU13" s="305"/>
      <c r="BV13" s="305"/>
    </row>
    <row r="14" spans="1:74" ht="15.75" thickBot="1" x14ac:dyDescent="0.3">
      <c r="A14" s="285">
        <f t="shared" si="0"/>
        <v>11</v>
      </c>
      <c r="B14" s="286" t="s">
        <v>29</v>
      </c>
      <c r="O14" s="471" t="s">
        <v>385</v>
      </c>
      <c r="R14" s="483" t="s">
        <v>412</v>
      </c>
      <c r="W14" s="279" t="s">
        <v>286</v>
      </c>
      <c r="X14" s="18"/>
      <c r="Y14" s="18" t="s">
        <v>318</v>
      </c>
      <c r="Z14" s="18" t="s">
        <v>321</v>
      </c>
      <c r="AA14" s="18" t="s">
        <v>324</v>
      </c>
      <c r="AB14" s="176" t="s">
        <v>327</v>
      </c>
      <c r="AC14"/>
      <c r="AD14" s="483" t="s">
        <v>412</v>
      </c>
      <c r="AE14" s="477">
        <v>14</v>
      </c>
      <c r="AG14" s="431" t="s">
        <v>751</v>
      </c>
      <c r="AI14" s="483" t="s">
        <v>412</v>
      </c>
      <c r="AJ14" s="93"/>
      <c r="AK14" s="477" t="s">
        <v>360</v>
      </c>
      <c r="AO14" s="471">
        <v>38</v>
      </c>
      <c r="AT14" s="285" t="s">
        <v>294</v>
      </c>
      <c r="AU14" s="46" t="s">
        <v>537</v>
      </c>
      <c r="AV14" s="452" t="s">
        <v>412</v>
      </c>
      <c r="AW14" s="452" t="s">
        <v>412</v>
      </c>
      <c r="AX14" s="453" t="s">
        <v>412</v>
      </c>
      <c r="AY14" s="503" t="s">
        <v>407</v>
      </c>
      <c r="AZ14" s="498" t="s">
        <v>407</v>
      </c>
      <c r="BB14" s="484" t="s">
        <v>412</v>
      </c>
      <c r="BE14" s="458" t="s">
        <v>121</v>
      </c>
      <c r="BF14" s="477" t="s">
        <v>718</v>
      </c>
      <c r="BG14"/>
      <c r="BI14" s="477">
        <v>6</v>
      </c>
      <c r="BO14" s="285" t="s">
        <v>691</v>
      </c>
      <c r="BP14" s="305" t="s">
        <v>412</v>
      </c>
      <c r="BQ14" s="19">
        <v>22</v>
      </c>
      <c r="BR14" s="19">
        <v>42</v>
      </c>
      <c r="BS14" s="19">
        <v>62</v>
      </c>
      <c r="BT14" s="466">
        <v>82</v>
      </c>
    </row>
    <row r="15" spans="1:74" ht="15.75" thickBot="1" x14ac:dyDescent="0.3">
      <c r="A15" s="285">
        <f t="shared" si="0"/>
        <v>12</v>
      </c>
      <c r="B15" s="286" t="s">
        <v>30</v>
      </c>
      <c r="O15" s="471" t="s">
        <v>386</v>
      </c>
      <c r="R15" s="484" t="s">
        <v>407</v>
      </c>
      <c r="W15" s="279" t="s">
        <v>633</v>
      </c>
      <c r="X15" s="18" t="s">
        <v>329</v>
      </c>
      <c r="Y15" s="18" t="s">
        <v>639</v>
      </c>
      <c r="Z15" s="18" t="s">
        <v>640</v>
      </c>
      <c r="AA15" s="18" t="s">
        <v>641</v>
      </c>
      <c r="AB15" s="176" t="s">
        <v>642</v>
      </c>
      <c r="AC15"/>
      <c r="AD15" s="483" t="s">
        <v>412</v>
      </c>
      <c r="AE15" s="477">
        <v>15</v>
      </c>
      <c r="AG15" s="470" t="s">
        <v>752</v>
      </c>
      <c r="AI15" s="484" t="s">
        <v>412</v>
      </c>
      <c r="AJ15" s="93"/>
      <c r="AK15" s="477" t="s">
        <v>624</v>
      </c>
      <c r="AO15" s="471">
        <v>45</v>
      </c>
      <c r="AT15" s="285" t="s">
        <v>295</v>
      </c>
      <c r="AU15" s="46" t="s">
        <v>538</v>
      </c>
      <c r="AV15" s="452" t="s">
        <v>412</v>
      </c>
      <c r="AW15" s="452" t="s">
        <v>412</v>
      </c>
      <c r="AX15" s="453" t="s">
        <v>412</v>
      </c>
      <c r="AY15" s="504" t="s">
        <v>407</v>
      </c>
      <c r="AZ15" s="499" t="s">
        <v>407</v>
      </c>
      <c r="BE15" s="458" t="s">
        <v>370</v>
      </c>
      <c r="BF15" s="477" t="s">
        <v>719</v>
      </c>
      <c r="BG15"/>
      <c r="BI15" s="477">
        <v>8</v>
      </c>
      <c r="BO15" s="285" t="s">
        <v>692</v>
      </c>
      <c r="BP15" s="305" t="s">
        <v>412</v>
      </c>
      <c r="BQ15" s="19">
        <v>22</v>
      </c>
      <c r="BR15" s="19">
        <v>42</v>
      </c>
      <c r="BS15" s="19">
        <v>62</v>
      </c>
      <c r="BT15" s="466">
        <v>82</v>
      </c>
    </row>
    <row r="16" spans="1:74" ht="15.75" thickBot="1" x14ac:dyDescent="0.3">
      <c r="A16" s="285">
        <f t="shared" si="0"/>
        <v>13</v>
      </c>
      <c r="B16" s="286" t="s">
        <v>31</v>
      </c>
      <c r="O16" s="471" t="s">
        <v>152</v>
      </c>
      <c r="W16" s="514" t="s">
        <v>412</v>
      </c>
      <c r="X16" s="515">
        <v>0</v>
      </c>
      <c r="Y16" s="516">
        <v>0</v>
      </c>
      <c r="Z16" s="516">
        <v>0</v>
      </c>
      <c r="AA16" s="516">
        <v>0</v>
      </c>
      <c r="AB16" s="517">
        <v>0</v>
      </c>
      <c r="AC16"/>
      <c r="AD16" s="484" t="s">
        <v>412</v>
      </c>
      <c r="AE16" s="477">
        <v>16</v>
      </c>
      <c r="AG16" s="471" t="s">
        <v>111</v>
      </c>
      <c r="AH16" s="242"/>
      <c r="AK16" s="477" t="s">
        <v>623</v>
      </c>
      <c r="AO16" s="523">
        <v>0</v>
      </c>
      <c r="AT16" s="285" t="s">
        <v>296</v>
      </c>
      <c r="AU16" s="46" t="s">
        <v>538</v>
      </c>
      <c r="AV16" s="452" t="s">
        <v>412</v>
      </c>
      <c r="AW16" s="452" t="s">
        <v>412</v>
      </c>
      <c r="AX16" s="453" t="s">
        <v>412</v>
      </c>
      <c r="AY16"/>
      <c r="BB16" s="431" t="s">
        <v>751</v>
      </c>
      <c r="BE16" s="479" t="s">
        <v>407</v>
      </c>
      <c r="BF16" s="477" t="s">
        <v>720</v>
      </c>
      <c r="BG16"/>
      <c r="BI16" s="477">
        <v>10</v>
      </c>
      <c r="BO16" s="285" t="s">
        <v>700</v>
      </c>
      <c r="BP16" s="305" t="s">
        <v>412</v>
      </c>
      <c r="BQ16" s="19">
        <v>22</v>
      </c>
      <c r="BR16" s="305" t="s">
        <v>412</v>
      </c>
      <c r="BS16" s="305" t="s">
        <v>412</v>
      </c>
      <c r="BT16" s="472" t="s">
        <v>412</v>
      </c>
    </row>
    <row r="17" spans="1:74" ht="15.75" thickBot="1" x14ac:dyDescent="0.3">
      <c r="A17" s="285">
        <f t="shared" si="0"/>
        <v>14</v>
      </c>
      <c r="B17" s="286" t="s">
        <v>32</v>
      </c>
      <c r="O17" s="471" t="s">
        <v>83</v>
      </c>
      <c r="W17" s="514" t="s">
        <v>412</v>
      </c>
      <c r="X17" s="515">
        <v>0</v>
      </c>
      <c r="Y17" s="516">
        <v>0</v>
      </c>
      <c r="Z17" s="516">
        <v>0</v>
      </c>
      <c r="AA17" s="516">
        <v>0</v>
      </c>
      <c r="AB17" s="517">
        <v>0</v>
      </c>
      <c r="AC17"/>
      <c r="AE17" s="477">
        <v>17</v>
      </c>
      <c r="AG17" s="471" t="s">
        <v>563</v>
      </c>
      <c r="AH17" s="242"/>
      <c r="AK17" s="477" t="s">
        <v>361</v>
      </c>
      <c r="AO17" s="527">
        <v>0</v>
      </c>
      <c r="AT17" s="285" t="s">
        <v>297</v>
      </c>
      <c r="AU17" s="46" t="s">
        <v>794</v>
      </c>
      <c r="AV17" s="452" t="s">
        <v>412</v>
      </c>
      <c r="AW17" s="452" t="s">
        <v>412</v>
      </c>
      <c r="AX17" s="453" t="s">
        <v>412</v>
      </c>
      <c r="AY17"/>
      <c r="BB17" s="470" t="s">
        <v>752</v>
      </c>
      <c r="BE17" s="479" t="s">
        <v>407</v>
      </c>
      <c r="BF17" s="477" t="s">
        <v>721</v>
      </c>
      <c r="BG17"/>
      <c r="BI17" s="477">
        <v>11</v>
      </c>
      <c r="BO17" s="285" t="s">
        <v>694</v>
      </c>
      <c r="BP17" s="305" t="s">
        <v>412</v>
      </c>
      <c r="BQ17" s="19">
        <v>22</v>
      </c>
      <c r="BR17" s="19">
        <v>42</v>
      </c>
      <c r="BS17" s="19">
        <v>62</v>
      </c>
      <c r="BT17" s="466">
        <v>82</v>
      </c>
    </row>
    <row r="18" spans="1:74" ht="15.75" thickBot="1" x14ac:dyDescent="0.3">
      <c r="A18" s="285">
        <f t="shared" si="0"/>
        <v>15</v>
      </c>
      <c r="B18" s="286" t="s">
        <v>64</v>
      </c>
      <c r="O18" s="471" t="s">
        <v>85</v>
      </c>
      <c r="W18" s="514" t="s">
        <v>412</v>
      </c>
      <c r="X18" s="515">
        <v>0</v>
      </c>
      <c r="Y18" s="516">
        <v>0</v>
      </c>
      <c r="Z18" s="516">
        <v>0</v>
      </c>
      <c r="AA18" s="516">
        <v>0</v>
      </c>
      <c r="AB18" s="517">
        <v>0</v>
      </c>
      <c r="AC18"/>
      <c r="AE18" s="477">
        <v>18</v>
      </c>
      <c r="AG18" s="483" t="s">
        <v>412</v>
      </c>
      <c r="AH18" s="242"/>
      <c r="AK18" s="477" t="s">
        <v>362</v>
      </c>
      <c r="AT18" s="285" t="s">
        <v>685</v>
      </c>
      <c r="AU18" s="46" t="s">
        <v>795</v>
      </c>
      <c r="AV18" s="452" t="s">
        <v>412</v>
      </c>
      <c r="AW18" s="452" t="s">
        <v>412</v>
      </c>
      <c r="AX18" s="453" t="s">
        <v>412</v>
      </c>
      <c r="AY18"/>
      <c r="BB18" s="471" t="s">
        <v>111</v>
      </c>
      <c r="BE18" s="480" t="s">
        <v>407</v>
      </c>
      <c r="BF18" s="477" t="s">
        <v>739</v>
      </c>
      <c r="BG18"/>
      <c r="BI18" s="477">
        <v>13</v>
      </c>
      <c r="BO18" s="285" t="s">
        <v>693</v>
      </c>
      <c r="BP18" s="305" t="s">
        <v>412</v>
      </c>
      <c r="BQ18" s="305" t="s">
        <v>412</v>
      </c>
      <c r="BR18" s="19">
        <v>42</v>
      </c>
      <c r="BS18" s="19">
        <v>62</v>
      </c>
      <c r="BT18" s="466">
        <v>82</v>
      </c>
    </row>
    <row r="19" spans="1:74" ht="15.75" thickBot="1" x14ac:dyDescent="0.3">
      <c r="A19" s="285">
        <f t="shared" si="0"/>
        <v>16</v>
      </c>
      <c r="B19" s="286" t="s">
        <v>33</v>
      </c>
      <c r="O19" s="483" t="s">
        <v>880</v>
      </c>
      <c r="W19" s="518" t="s">
        <v>412</v>
      </c>
      <c r="X19" s="519">
        <v>0</v>
      </c>
      <c r="Y19" s="519">
        <v>0</v>
      </c>
      <c r="Z19" s="519">
        <v>0</v>
      </c>
      <c r="AA19" s="519">
        <v>0</v>
      </c>
      <c r="AB19" s="520">
        <v>0</v>
      </c>
      <c r="AC19"/>
      <c r="AE19" s="477">
        <v>19</v>
      </c>
      <c r="AG19" s="483" t="s">
        <v>412</v>
      </c>
      <c r="AH19" s="242"/>
      <c r="AK19" s="477" t="s">
        <v>629</v>
      </c>
      <c r="AT19" s="285" t="s">
        <v>298</v>
      </c>
      <c r="AU19" s="46" t="s">
        <v>539</v>
      </c>
      <c r="AV19" s="46" t="s">
        <v>546</v>
      </c>
      <c r="AW19" s="46" t="s">
        <v>547</v>
      </c>
      <c r="AX19" s="451" t="s">
        <v>548</v>
      </c>
      <c r="AY19"/>
      <c r="BB19" s="471" t="s">
        <v>777</v>
      </c>
      <c r="BF19" s="477" t="s">
        <v>740</v>
      </c>
      <c r="BG19"/>
      <c r="BI19" s="477">
        <v>16</v>
      </c>
      <c r="BO19" s="285" t="s">
        <v>701</v>
      </c>
      <c r="BP19" s="305" t="s">
        <v>412</v>
      </c>
      <c r="BQ19" s="305" t="s">
        <v>412</v>
      </c>
      <c r="BR19" s="19">
        <v>41</v>
      </c>
      <c r="BS19" s="19">
        <v>61</v>
      </c>
      <c r="BT19" s="466">
        <v>81</v>
      </c>
    </row>
    <row r="20" spans="1:74" ht="15.75" thickBot="1" x14ac:dyDescent="0.3">
      <c r="A20" s="285">
        <f t="shared" si="0"/>
        <v>17</v>
      </c>
      <c r="B20" s="286" t="s">
        <v>34</v>
      </c>
      <c r="O20" s="484" t="s">
        <v>412</v>
      </c>
      <c r="AC20"/>
      <c r="AE20" s="477">
        <v>20</v>
      </c>
      <c r="AG20" s="484" t="s">
        <v>412</v>
      </c>
      <c r="AH20" s="242"/>
      <c r="AK20" s="477" t="s">
        <v>363</v>
      </c>
      <c r="AT20" s="285" t="s">
        <v>300</v>
      </c>
      <c r="AU20" s="46" t="s">
        <v>539</v>
      </c>
      <c r="AV20" s="46" t="s">
        <v>546</v>
      </c>
      <c r="AW20" s="46" t="s">
        <v>547</v>
      </c>
      <c r="AX20" s="451" t="s">
        <v>548</v>
      </c>
      <c r="AY20"/>
      <c r="BB20" s="471" t="s">
        <v>776</v>
      </c>
      <c r="BF20" s="477" t="s">
        <v>741</v>
      </c>
      <c r="BG20"/>
      <c r="BI20" s="477">
        <v>20</v>
      </c>
      <c r="BO20" s="285" t="s">
        <v>702</v>
      </c>
      <c r="BP20" s="305" t="s">
        <v>412</v>
      </c>
      <c r="BQ20" s="305" t="s">
        <v>412</v>
      </c>
      <c r="BR20" s="19">
        <v>51</v>
      </c>
      <c r="BS20" s="19">
        <v>71</v>
      </c>
      <c r="BT20" s="466">
        <v>91</v>
      </c>
    </row>
    <row r="21" spans="1:74" x14ac:dyDescent="0.25">
      <c r="A21" s="285">
        <f t="shared" si="0"/>
        <v>18</v>
      </c>
      <c r="B21" s="286" t="s">
        <v>35</v>
      </c>
      <c r="AC21"/>
      <c r="AE21" s="477">
        <v>22</v>
      </c>
      <c r="AG21" s="317"/>
      <c r="AH21" s="242"/>
      <c r="AK21" s="477" t="s">
        <v>364</v>
      </c>
      <c r="AT21" s="285" t="s">
        <v>299</v>
      </c>
      <c r="AU21" s="452" t="s">
        <v>412</v>
      </c>
      <c r="AV21" s="46" t="s">
        <v>546</v>
      </c>
      <c r="AW21" s="46" t="s">
        <v>547</v>
      </c>
      <c r="AX21" s="451" t="s">
        <v>548</v>
      </c>
      <c r="AY21"/>
      <c r="BB21" s="471" t="s">
        <v>563</v>
      </c>
      <c r="BF21" s="477" t="s">
        <v>742</v>
      </c>
      <c r="BG21"/>
      <c r="BI21" s="477">
        <v>22</v>
      </c>
      <c r="BO21" s="486" t="s">
        <v>407</v>
      </c>
      <c r="BP21" s="487" t="s">
        <v>412</v>
      </c>
      <c r="BQ21" s="487" t="s">
        <v>412</v>
      </c>
      <c r="BR21" s="487" t="s">
        <v>412</v>
      </c>
      <c r="BS21" s="487" t="s">
        <v>412</v>
      </c>
      <c r="BT21" s="488" t="s">
        <v>412</v>
      </c>
    </row>
    <row r="22" spans="1:74" x14ac:dyDescent="0.25">
      <c r="A22" s="285">
        <f t="shared" si="0"/>
        <v>19</v>
      </c>
      <c r="B22" s="286" t="s">
        <v>36</v>
      </c>
      <c r="AC22"/>
      <c r="AE22" s="477">
        <v>24</v>
      </c>
      <c r="AG22" s="317"/>
      <c r="AH22" s="242"/>
      <c r="AK22" s="477" t="s">
        <v>365</v>
      </c>
      <c r="AT22" s="285" t="s">
        <v>301</v>
      </c>
      <c r="AU22" s="452" t="s">
        <v>412</v>
      </c>
      <c r="AV22" s="46" t="s">
        <v>796</v>
      </c>
      <c r="AW22" s="46" t="s">
        <v>797</v>
      </c>
      <c r="AX22" s="451" t="s">
        <v>798</v>
      </c>
      <c r="AY22"/>
      <c r="BB22" s="481" t="s">
        <v>412</v>
      </c>
      <c r="BF22" s="477" t="s">
        <v>714</v>
      </c>
      <c r="BG22"/>
      <c r="BI22" s="477">
        <v>24</v>
      </c>
      <c r="BO22" s="486" t="s">
        <v>407</v>
      </c>
      <c r="BP22" s="487" t="s">
        <v>412</v>
      </c>
      <c r="BQ22" s="487" t="s">
        <v>412</v>
      </c>
      <c r="BR22" s="487" t="s">
        <v>412</v>
      </c>
      <c r="BS22" s="487" t="s">
        <v>412</v>
      </c>
      <c r="BT22" s="488" t="s">
        <v>412</v>
      </c>
    </row>
    <row r="23" spans="1:74" x14ac:dyDescent="0.25">
      <c r="A23" s="285">
        <f t="shared" si="0"/>
        <v>20</v>
      </c>
      <c r="B23" s="286" t="s">
        <v>37</v>
      </c>
      <c r="AC23"/>
      <c r="AE23" s="477">
        <v>26</v>
      </c>
      <c r="AG23" s="317"/>
      <c r="AH23" s="242"/>
      <c r="AK23" s="477" t="s">
        <v>366</v>
      </c>
      <c r="AT23" s="285" t="s">
        <v>799</v>
      </c>
      <c r="AU23" s="452" t="s">
        <v>412</v>
      </c>
      <c r="AV23" s="46" t="s">
        <v>800</v>
      </c>
      <c r="AW23" s="46" t="s">
        <v>801</v>
      </c>
      <c r="AX23" s="451" t="s">
        <v>802</v>
      </c>
      <c r="AY23"/>
      <c r="BB23" s="481" t="s">
        <v>412</v>
      </c>
      <c r="BF23" s="477" t="s">
        <v>715</v>
      </c>
      <c r="BG23"/>
      <c r="BI23" s="477">
        <v>27</v>
      </c>
      <c r="BO23" s="486" t="s">
        <v>407</v>
      </c>
      <c r="BP23" s="487" t="s">
        <v>412</v>
      </c>
      <c r="BQ23" s="487" t="s">
        <v>412</v>
      </c>
      <c r="BR23" s="487" t="s">
        <v>412</v>
      </c>
      <c r="BS23" s="487" t="s">
        <v>412</v>
      </c>
      <c r="BT23" s="488" t="s">
        <v>412</v>
      </c>
    </row>
    <row r="24" spans="1:74" ht="15.75" thickBot="1" x14ac:dyDescent="0.3">
      <c r="A24" s="285">
        <f t="shared" si="0"/>
        <v>21</v>
      </c>
      <c r="B24" s="286" t="s">
        <v>57</v>
      </c>
      <c r="AC24"/>
      <c r="AE24" s="477">
        <v>28</v>
      </c>
      <c r="AG24" s="317"/>
      <c r="AH24" s="242"/>
      <c r="AK24" s="477" t="s">
        <v>885</v>
      </c>
      <c r="AT24" s="285" t="s">
        <v>286</v>
      </c>
      <c r="AU24" s="46" t="s">
        <v>318</v>
      </c>
      <c r="AV24" s="46" t="s">
        <v>321</v>
      </c>
      <c r="AW24" s="46" t="s">
        <v>324</v>
      </c>
      <c r="AX24" s="451" t="s">
        <v>327</v>
      </c>
      <c r="AY24"/>
      <c r="BB24" s="482" t="s">
        <v>412</v>
      </c>
      <c r="BF24" s="481" t="s">
        <v>412</v>
      </c>
      <c r="BG24"/>
      <c r="BI24" s="477">
        <v>30</v>
      </c>
      <c r="BO24" s="489" t="s">
        <v>407</v>
      </c>
      <c r="BP24" s="490" t="s">
        <v>412</v>
      </c>
      <c r="BQ24" s="490" t="s">
        <v>412</v>
      </c>
      <c r="BR24" s="490" t="s">
        <v>412</v>
      </c>
      <c r="BS24" s="490" t="s">
        <v>412</v>
      </c>
      <c r="BT24" s="491" t="s">
        <v>412</v>
      </c>
    </row>
    <row r="25" spans="1:74" x14ac:dyDescent="0.25">
      <c r="A25" s="285">
        <f t="shared" si="0"/>
        <v>22</v>
      </c>
      <c r="B25" s="286" t="s">
        <v>38</v>
      </c>
      <c r="AC25"/>
      <c r="AE25" s="477">
        <v>30</v>
      </c>
      <c r="AG25" s="317"/>
      <c r="AH25" s="242"/>
      <c r="AK25" s="477" t="s">
        <v>367</v>
      </c>
      <c r="AT25" s="285" t="s">
        <v>302</v>
      </c>
      <c r="AU25" s="46" t="s">
        <v>549</v>
      </c>
      <c r="AV25" s="46" t="s">
        <v>550</v>
      </c>
      <c r="AW25" s="46" t="s">
        <v>551</v>
      </c>
      <c r="AX25" s="451" t="s">
        <v>552</v>
      </c>
      <c r="AY25"/>
      <c r="BF25" s="481" t="s">
        <v>412</v>
      </c>
      <c r="BG25"/>
      <c r="BI25" s="477">
        <v>36</v>
      </c>
    </row>
    <row r="26" spans="1:74" ht="15.75" thickBot="1" x14ac:dyDescent="0.3">
      <c r="A26" s="285">
        <f t="shared" si="0"/>
        <v>23</v>
      </c>
      <c r="B26" s="286" t="s">
        <v>39</v>
      </c>
      <c r="AC26"/>
      <c r="AE26" s="481" t="s">
        <v>412</v>
      </c>
      <c r="AG26" s="317"/>
      <c r="AH26" s="242"/>
      <c r="AK26" s="477" t="s">
        <v>368</v>
      </c>
      <c r="AT26" s="285" t="s">
        <v>634</v>
      </c>
      <c r="AU26" s="46" t="s">
        <v>635</v>
      </c>
      <c r="AV26" s="46" t="s">
        <v>636</v>
      </c>
      <c r="AW26" s="46" t="s">
        <v>637</v>
      </c>
      <c r="AX26" s="451" t="s">
        <v>638</v>
      </c>
      <c r="AY26"/>
      <c r="BF26" s="482" t="s">
        <v>412</v>
      </c>
      <c r="BG26"/>
      <c r="BI26" s="477">
        <v>38</v>
      </c>
    </row>
    <row r="27" spans="1:74" x14ac:dyDescent="0.25">
      <c r="A27" s="285">
        <f t="shared" si="0"/>
        <v>24</v>
      </c>
      <c r="B27" s="286" t="s">
        <v>40</v>
      </c>
      <c r="AC27"/>
      <c r="AE27" s="481" t="s">
        <v>412</v>
      </c>
      <c r="AG27" s="317"/>
      <c r="AH27" s="242"/>
      <c r="AK27" s="477" t="s">
        <v>886</v>
      </c>
      <c r="AT27" s="285" t="s">
        <v>303</v>
      </c>
      <c r="AU27" s="46" t="s">
        <v>549</v>
      </c>
      <c r="AV27" s="46" t="s">
        <v>550</v>
      </c>
      <c r="AW27" s="46" t="s">
        <v>551</v>
      </c>
      <c r="AX27" s="451" t="s">
        <v>552</v>
      </c>
      <c r="AY27"/>
      <c r="BI27" s="477">
        <v>45</v>
      </c>
    </row>
    <row r="28" spans="1:74" ht="15.75" thickBot="1" x14ac:dyDescent="0.3">
      <c r="A28" s="285">
        <f t="shared" si="0"/>
        <v>25</v>
      </c>
      <c r="B28" s="286" t="s">
        <v>41</v>
      </c>
      <c r="AC28"/>
      <c r="AE28" s="482" t="s">
        <v>412</v>
      </c>
      <c r="AG28" s="317"/>
      <c r="AH28" s="242"/>
      <c r="AK28" s="477" t="s">
        <v>369</v>
      </c>
      <c r="AT28" s="486" t="s">
        <v>412</v>
      </c>
      <c r="AU28" s="508">
        <v>0</v>
      </c>
      <c r="AV28" s="508">
        <v>0</v>
      </c>
      <c r="AW28" s="508">
        <v>0</v>
      </c>
      <c r="AX28" s="501">
        <v>0</v>
      </c>
      <c r="AY28"/>
      <c r="BI28" s="481" t="s">
        <v>412</v>
      </c>
      <c r="BU28" s="305"/>
      <c r="BV28" s="305"/>
    </row>
    <row r="29" spans="1:74" ht="15.75" thickBot="1" x14ac:dyDescent="0.3">
      <c r="A29" s="285">
        <f t="shared" si="0"/>
        <v>26</v>
      </c>
      <c r="B29" s="286" t="s">
        <v>65</v>
      </c>
      <c r="AG29" s="317"/>
      <c r="AH29" s="242"/>
      <c r="AK29" s="477" t="s">
        <v>346</v>
      </c>
      <c r="AT29" s="486" t="s">
        <v>412</v>
      </c>
      <c r="AU29" s="508">
        <v>0</v>
      </c>
      <c r="AV29" s="508">
        <v>0</v>
      </c>
      <c r="AW29" s="508">
        <v>0</v>
      </c>
      <c r="AX29" s="501">
        <v>0</v>
      </c>
      <c r="AY29"/>
      <c r="BI29" s="482" t="s">
        <v>412</v>
      </c>
    </row>
    <row r="30" spans="1:74" ht="15.75" thickBot="1" x14ac:dyDescent="0.3">
      <c r="A30" s="285">
        <f t="shared" si="0"/>
        <v>27</v>
      </c>
      <c r="B30" s="286" t="s">
        <v>50</v>
      </c>
      <c r="AG30" s="317"/>
      <c r="AH30" s="242"/>
      <c r="AK30" s="477" t="s">
        <v>347</v>
      </c>
      <c r="AT30" s="489" t="s">
        <v>412</v>
      </c>
      <c r="AU30" s="509">
        <v>0</v>
      </c>
      <c r="AV30" s="509">
        <v>0</v>
      </c>
      <c r="AW30" s="509">
        <v>0</v>
      </c>
      <c r="AX30" s="502">
        <v>0</v>
      </c>
      <c r="AY30"/>
    </row>
    <row r="31" spans="1:74" ht="15.75" thickBot="1" x14ac:dyDescent="0.3">
      <c r="A31" s="285">
        <f t="shared" si="0"/>
        <v>28</v>
      </c>
      <c r="B31" s="286" t="s">
        <v>66</v>
      </c>
      <c r="AG31" s="317"/>
      <c r="AH31" s="242"/>
      <c r="AK31" s="477" t="s">
        <v>348</v>
      </c>
      <c r="AT31" s="468"/>
      <c r="AX31" s="451"/>
      <c r="AY31"/>
    </row>
    <row r="32" spans="1:74" x14ac:dyDescent="0.25">
      <c r="A32" s="285">
        <f t="shared" si="0"/>
        <v>29</v>
      </c>
      <c r="B32" s="286" t="s">
        <v>68</v>
      </c>
      <c r="AG32" s="317"/>
      <c r="AH32" s="242"/>
      <c r="AK32" s="526" t="s">
        <v>349</v>
      </c>
      <c r="AT32" s="454" t="s">
        <v>807</v>
      </c>
      <c r="AU32" s="448"/>
      <c r="AV32" s="449"/>
      <c r="AW32" s="449"/>
      <c r="AX32" s="450"/>
      <c r="AY32"/>
    </row>
    <row r="33" spans="1:51" x14ac:dyDescent="0.25">
      <c r="A33" s="285">
        <f t="shared" si="0"/>
        <v>30</v>
      </c>
      <c r="B33" s="286" t="s">
        <v>44</v>
      </c>
      <c r="AG33" s="317"/>
      <c r="AH33" s="242"/>
      <c r="AK33" s="526" t="s">
        <v>350</v>
      </c>
      <c r="AT33" s="486" t="s">
        <v>412</v>
      </c>
      <c r="AU33" s="508">
        <v>0</v>
      </c>
      <c r="AV33" s="508">
        <v>0</v>
      </c>
      <c r="AW33" s="508">
        <v>0</v>
      </c>
      <c r="AX33" s="501">
        <v>0</v>
      </c>
      <c r="AY33"/>
    </row>
    <row r="34" spans="1:51" x14ac:dyDescent="0.25">
      <c r="A34" s="285">
        <f t="shared" si="0"/>
        <v>31</v>
      </c>
      <c r="B34" s="286" t="s">
        <v>45</v>
      </c>
      <c r="AG34" s="317"/>
      <c r="AH34" s="242"/>
      <c r="AK34" s="526" t="s">
        <v>351</v>
      </c>
      <c r="AT34" s="285" t="s">
        <v>292</v>
      </c>
      <c r="AU34" s="46" t="s">
        <v>535</v>
      </c>
      <c r="AV34" s="46" t="s">
        <v>541</v>
      </c>
      <c r="AW34" s="46" t="s">
        <v>542</v>
      </c>
      <c r="AX34" s="451" t="s">
        <v>543</v>
      </c>
      <c r="AY34"/>
    </row>
    <row r="35" spans="1:51" x14ac:dyDescent="0.25">
      <c r="A35" s="285">
        <f t="shared" si="0"/>
        <v>32</v>
      </c>
      <c r="B35" s="286" t="s">
        <v>46</v>
      </c>
      <c r="AG35" s="317"/>
      <c r="AH35" s="242"/>
      <c r="AK35" s="526" t="s">
        <v>352</v>
      </c>
      <c r="AT35" s="285" t="s">
        <v>293</v>
      </c>
      <c r="AU35" s="46" t="s">
        <v>536</v>
      </c>
      <c r="AV35" s="46" t="s">
        <v>540</v>
      </c>
      <c r="AW35" s="46" t="s">
        <v>544</v>
      </c>
      <c r="AX35" s="451" t="s">
        <v>545</v>
      </c>
      <c r="AY35"/>
    </row>
    <row r="36" spans="1:51" x14ac:dyDescent="0.25">
      <c r="A36" s="285">
        <f t="shared" si="0"/>
        <v>33</v>
      </c>
      <c r="B36" s="286" t="s">
        <v>47</v>
      </c>
      <c r="AG36" s="317"/>
      <c r="AH36" s="242"/>
      <c r="AK36" s="526" t="s">
        <v>353</v>
      </c>
      <c r="AT36" s="285" t="s">
        <v>784</v>
      </c>
      <c r="AU36" s="452" t="s">
        <v>412</v>
      </c>
      <c r="AV36" s="46" t="s">
        <v>788</v>
      </c>
      <c r="AW36" s="46" t="s">
        <v>789</v>
      </c>
      <c r="AX36" s="451" t="s">
        <v>790</v>
      </c>
      <c r="AY36"/>
    </row>
    <row r="37" spans="1:51" x14ac:dyDescent="0.25">
      <c r="A37" s="285">
        <f t="shared" si="0"/>
        <v>34</v>
      </c>
      <c r="B37" s="286" t="s">
        <v>48</v>
      </c>
      <c r="AG37" s="317"/>
      <c r="AH37" s="242"/>
      <c r="AK37" s="526" t="s">
        <v>354</v>
      </c>
      <c r="AT37" s="285" t="s">
        <v>785</v>
      </c>
      <c r="AU37" s="452" t="s">
        <v>412</v>
      </c>
      <c r="AV37" s="46" t="s">
        <v>791</v>
      </c>
      <c r="AW37" s="46" t="s">
        <v>792</v>
      </c>
      <c r="AX37" s="451" t="s">
        <v>793</v>
      </c>
      <c r="AY37"/>
    </row>
    <row r="38" spans="1:51" x14ac:dyDescent="0.25">
      <c r="A38" s="285">
        <f t="shared" si="0"/>
        <v>35</v>
      </c>
      <c r="B38" s="286" t="s">
        <v>43</v>
      </c>
      <c r="AG38" s="317"/>
      <c r="AH38" s="242"/>
      <c r="AK38" s="526" t="s">
        <v>355</v>
      </c>
      <c r="AT38" s="285" t="s">
        <v>298</v>
      </c>
      <c r="AU38" s="46" t="s">
        <v>539</v>
      </c>
      <c r="AV38" s="46" t="s">
        <v>546</v>
      </c>
      <c r="AW38" s="46" t="s">
        <v>547</v>
      </c>
      <c r="AX38" s="451" t="s">
        <v>548</v>
      </c>
      <c r="AY38"/>
    </row>
    <row r="39" spans="1:51" x14ac:dyDescent="0.25">
      <c r="A39" s="285">
        <f t="shared" si="0"/>
        <v>36</v>
      </c>
      <c r="B39" s="286" t="s">
        <v>51</v>
      </c>
      <c r="AG39" s="317"/>
      <c r="AH39" s="242"/>
      <c r="AK39" s="526" t="s">
        <v>356</v>
      </c>
      <c r="AT39" s="285" t="s">
        <v>300</v>
      </c>
      <c r="AU39" s="46" t="s">
        <v>539</v>
      </c>
      <c r="AV39" s="46" t="s">
        <v>546</v>
      </c>
      <c r="AW39" s="46" t="s">
        <v>547</v>
      </c>
      <c r="AX39" s="451" t="s">
        <v>548</v>
      </c>
      <c r="AY39"/>
    </row>
    <row r="40" spans="1:51" x14ac:dyDescent="0.25">
      <c r="A40" s="285">
        <f t="shared" si="0"/>
        <v>37</v>
      </c>
      <c r="B40" s="286" t="s">
        <v>52</v>
      </c>
      <c r="AG40" s="317"/>
      <c r="AH40" s="242"/>
      <c r="AK40" s="526" t="s">
        <v>357</v>
      </c>
      <c r="AT40" s="285" t="s">
        <v>299</v>
      </c>
      <c r="AU40" s="452" t="s">
        <v>412</v>
      </c>
      <c r="AV40" s="46" t="s">
        <v>546</v>
      </c>
      <c r="AW40" s="46" t="s">
        <v>547</v>
      </c>
      <c r="AX40" s="451" t="s">
        <v>548</v>
      </c>
      <c r="AY40"/>
    </row>
    <row r="41" spans="1:51" x14ac:dyDescent="0.25">
      <c r="A41" s="285">
        <f t="shared" si="0"/>
        <v>38</v>
      </c>
      <c r="B41" s="286" t="s">
        <v>58</v>
      </c>
      <c r="AG41" s="317"/>
      <c r="AH41" s="242"/>
      <c r="AK41" s="526" t="s">
        <v>358</v>
      </c>
      <c r="AT41" s="285" t="s">
        <v>301</v>
      </c>
      <c r="AU41" s="452" t="s">
        <v>412</v>
      </c>
      <c r="AV41" s="46" t="s">
        <v>796</v>
      </c>
      <c r="AW41" s="46" t="s">
        <v>797</v>
      </c>
      <c r="AX41" s="451" t="s">
        <v>798</v>
      </c>
      <c r="AY41"/>
    </row>
    <row r="42" spans="1:51" x14ac:dyDescent="0.25">
      <c r="A42" s="285">
        <f t="shared" si="0"/>
        <v>39</v>
      </c>
      <c r="B42" s="286" t="s">
        <v>42</v>
      </c>
      <c r="AG42" s="317"/>
      <c r="AH42" s="242"/>
      <c r="AK42" s="526" t="s">
        <v>359</v>
      </c>
      <c r="AT42" s="285" t="s">
        <v>799</v>
      </c>
      <c r="AU42" s="452" t="s">
        <v>412</v>
      </c>
      <c r="AV42" s="46" t="s">
        <v>800</v>
      </c>
      <c r="AW42" s="46" t="s">
        <v>801</v>
      </c>
      <c r="AX42" s="451" t="s">
        <v>802</v>
      </c>
      <c r="AY42"/>
    </row>
    <row r="43" spans="1:51" x14ac:dyDescent="0.25">
      <c r="A43" s="285">
        <f t="shared" si="0"/>
        <v>40</v>
      </c>
      <c r="B43" s="533" t="s">
        <v>59</v>
      </c>
      <c r="AG43" s="317"/>
      <c r="AH43" s="242"/>
      <c r="AK43" s="481" t="s">
        <v>412</v>
      </c>
      <c r="AT43" s="285" t="s">
        <v>286</v>
      </c>
      <c r="AU43" s="46" t="s">
        <v>318</v>
      </c>
      <c r="AV43" s="46" t="s">
        <v>321</v>
      </c>
      <c r="AW43" s="46" t="s">
        <v>324</v>
      </c>
      <c r="AX43" s="451" t="s">
        <v>327</v>
      </c>
      <c r="AY43"/>
    </row>
    <row r="44" spans="1:51" x14ac:dyDescent="0.25">
      <c r="A44" s="285">
        <f t="shared" si="0"/>
        <v>41</v>
      </c>
      <c r="B44" s="533" t="s">
        <v>60</v>
      </c>
      <c r="AG44" s="317"/>
      <c r="AH44" s="242"/>
      <c r="AK44" s="481" t="s">
        <v>412</v>
      </c>
      <c r="AT44" s="285" t="s">
        <v>302</v>
      </c>
      <c r="AU44" s="46" t="s">
        <v>549</v>
      </c>
      <c r="AV44" s="46" t="s">
        <v>550</v>
      </c>
      <c r="AW44" s="46" t="s">
        <v>551</v>
      </c>
      <c r="AX44" s="451" t="s">
        <v>552</v>
      </c>
      <c r="AY44"/>
    </row>
    <row r="45" spans="1:51" x14ac:dyDescent="0.25">
      <c r="A45" s="285">
        <f t="shared" si="0"/>
        <v>42</v>
      </c>
      <c r="B45" s="286" t="s">
        <v>49</v>
      </c>
      <c r="AG45" s="317"/>
      <c r="AH45" s="242"/>
      <c r="AK45" s="481" t="s">
        <v>412</v>
      </c>
      <c r="AT45" s="285" t="s">
        <v>634</v>
      </c>
      <c r="AU45" s="46" t="s">
        <v>635</v>
      </c>
      <c r="AV45" s="46" t="s">
        <v>636</v>
      </c>
      <c r="AW45" s="46" t="s">
        <v>637</v>
      </c>
      <c r="AX45" s="451" t="s">
        <v>638</v>
      </c>
      <c r="AY45"/>
    </row>
    <row r="46" spans="1:51" ht="15.75" thickBot="1" x14ac:dyDescent="0.3">
      <c r="A46" s="285">
        <f t="shared" si="0"/>
        <v>43</v>
      </c>
      <c r="B46" s="533" t="s">
        <v>67</v>
      </c>
      <c r="AG46" s="317"/>
      <c r="AH46" s="242"/>
      <c r="AK46" s="482" t="s">
        <v>412</v>
      </c>
      <c r="AT46" s="285" t="s">
        <v>303</v>
      </c>
      <c r="AU46" s="46" t="s">
        <v>549</v>
      </c>
      <c r="AV46" s="46" t="s">
        <v>550</v>
      </c>
      <c r="AW46" s="46" t="s">
        <v>551</v>
      </c>
      <c r="AX46" s="451" t="s">
        <v>552</v>
      </c>
      <c r="AY46"/>
    </row>
    <row r="47" spans="1:51" x14ac:dyDescent="0.25">
      <c r="A47" s="285">
        <f t="shared" si="0"/>
        <v>44</v>
      </c>
      <c r="B47" s="534"/>
      <c r="AG47" s="317"/>
      <c r="AH47" s="242"/>
      <c r="AT47" s="486" t="s">
        <v>412</v>
      </c>
      <c r="AU47" s="508">
        <v>0</v>
      </c>
      <c r="AV47" s="508">
        <v>0</v>
      </c>
      <c r="AW47" s="508">
        <v>0</v>
      </c>
      <c r="AX47" s="501">
        <v>0</v>
      </c>
      <c r="AY47"/>
    </row>
    <row r="48" spans="1:51" ht="15.75" thickBot="1" x14ac:dyDescent="0.3">
      <c r="A48" s="460">
        <f t="shared" si="0"/>
        <v>45</v>
      </c>
      <c r="B48" s="535"/>
      <c r="AG48" s="317"/>
      <c r="AH48" s="242"/>
      <c r="AT48" s="486" t="s">
        <v>412</v>
      </c>
      <c r="AU48" s="508">
        <v>0</v>
      </c>
      <c r="AV48" s="508">
        <v>0</v>
      </c>
      <c r="AW48" s="508">
        <v>0</v>
      </c>
      <c r="AX48" s="501">
        <v>0</v>
      </c>
      <c r="AY48"/>
    </row>
    <row r="49" spans="2:74" ht="15.75" thickBot="1" x14ac:dyDescent="0.3">
      <c r="B49" s="4"/>
      <c r="AG49" s="317"/>
      <c r="AH49" s="242"/>
      <c r="AT49" s="489" t="s">
        <v>412</v>
      </c>
      <c r="AU49" s="509">
        <v>0</v>
      </c>
      <c r="AV49" s="509">
        <v>0</v>
      </c>
      <c r="AW49" s="509">
        <v>0</v>
      </c>
      <c r="AX49" s="502">
        <v>0</v>
      </c>
      <c r="AY49"/>
    </row>
    <row r="50" spans="2:74" x14ac:dyDescent="0.25">
      <c r="B50" s="4"/>
      <c r="AG50" s="317"/>
      <c r="AH50" s="242"/>
      <c r="AT50" s="285"/>
      <c r="AU50" s="452"/>
      <c r="AX50" s="451"/>
      <c r="AY50"/>
    </row>
    <row r="51" spans="2:74" x14ac:dyDescent="0.25">
      <c r="B51" s="4"/>
      <c r="AG51" s="317"/>
      <c r="AH51" s="242"/>
      <c r="AT51" s="285"/>
      <c r="AU51" s="452"/>
      <c r="AX51" s="451"/>
      <c r="AY51"/>
    </row>
    <row r="52" spans="2:74" x14ac:dyDescent="0.25">
      <c r="B52" s="4"/>
      <c r="AG52" s="317"/>
      <c r="AH52" s="242"/>
      <c r="AY52"/>
    </row>
    <row r="53" spans="2:74" x14ac:dyDescent="0.25">
      <c r="B53" s="4"/>
      <c r="AG53" s="317"/>
      <c r="AH53" s="242"/>
      <c r="AY53"/>
    </row>
    <row r="54" spans="2:74" x14ac:dyDescent="0.25">
      <c r="B54" s="4"/>
      <c r="AG54" s="317"/>
      <c r="AH54" s="242"/>
      <c r="AY54"/>
    </row>
    <row r="55" spans="2:74" x14ac:dyDescent="0.25">
      <c r="B55" s="4"/>
      <c r="AG55" s="317"/>
      <c r="AH55" s="242"/>
      <c r="AT55" s="93"/>
      <c r="AY55"/>
    </row>
    <row r="56" spans="2:74" x14ac:dyDescent="0.25">
      <c r="B56" s="4"/>
      <c r="AG56" s="317"/>
      <c r="AH56" s="242"/>
      <c r="AT56" s="93"/>
      <c r="AY56"/>
    </row>
    <row r="57" spans="2:74" x14ac:dyDescent="0.25">
      <c r="B57" s="4"/>
      <c r="AG57" s="317"/>
      <c r="AH57" s="242"/>
      <c r="AT57" s="93"/>
      <c r="AY57"/>
    </row>
    <row r="58" spans="2:74" x14ac:dyDescent="0.25">
      <c r="B58" s="5"/>
      <c r="AC58" s="62"/>
      <c r="AD58" s="66"/>
      <c r="AE58" s="63"/>
      <c r="AF58" s="19" t="s">
        <v>461</v>
      </c>
      <c r="AG58" s="317"/>
      <c r="AH58" s="242"/>
      <c r="AT58" s="93"/>
      <c r="AY58"/>
    </row>
    <row r="59" spans="2:74" s="3" customFormat="1" ht="15.75" thickBot="1" x14ac:dyDescent="0.3">
      <c r="E59" s="49"/>
      <c r="G59" s="3" t="s">
        <v>683</v>
      </c>
      <c r="H59" s="49"/>
      <c r="J59" s="49"/>
      <c r="K59" s="49"/>
      <c r="L59" s="49"/>
      <c r="M59" s="49"/>
      <c r="U59" s="3" t="s">
        <v>683</v>
      </c>
      <c r="V59" s="49"/>
      <c r="W59" s="91"/>
      <c r="X59" s="49"/>
      <c r="Y59" s="49"/>
      <c r="Z59" s="49"/>
      <c r="AA59" s="49"/>
      <c r="AB59" s="49"/>
      <c r="AC59" s="49" t="s">
        <v>602</v>
      </c>
      <c r="AD59" s="49"/>
      <c r="AE59" s="49"/>
      <c r="AF59" s="52" t="s">
        <v>310</v>
      </c>
      <c r="AG59" s="338"/>
      <c r="AH59" s="308"/>
      <c r="AI59" s="91"/>
      <c r="AK59" s="49"/>
      <c r="AL59" s="49"/>
      <c r="AM59" s="49" t="s">
        <v>602</v>
      </c>
      <c r="AN59" s="49"/>
      <c r="AO59" s="49"/>
      <c r="AP59" s="49"/>
      <c r="AQ59" s="49"/>
      <c r="AR59" s="3" t="s">
        <v>683</v>
      </c>
      <c r="BA59" s="469" t="s">
        <v>309</v>
      </c>
      <c r="BB59" s="35" t="s">
        <v>771</v>
      </c>
      <c r="BD59" s="338"/>
      <c r="BE59" s="49"/>
      <c r="BF59" s="49"/>
      <c r="BG59" s="91"/>
      <c r="BI59" s="91"/>
      <c r="BP59" s="49"/>
      <c r="BQ59" s="49"/>
      <c r="BR59" s="49"/>
      <c r="BS59" s="49"/>
      <c r="BT59" s="49"/>
      <c r="BU59" s="49"/>
      <c r="BV59" s="49"/>
    </row>
    <row r="60" spans="2:74" x14ac:dyDescent="0.25">
      <c r="H60" s="305"/>
      <c r="U60" s="64" t="s">
        <v>135</v>
      </c>
      <c r="V60" s="305" t="s">
        <v>666</v>
      </c>
      <c r="AC60" s="373" t="str">
        <f t="shared" ref="AC60:AC68" si="1">AD60&amp;AE60</f>
        <v>6x7 FEStaal (1770 N/m²)3</v>
      </c>
      <c r="AD60" s="374" t="str">
        <f>AD5&amp;AC4</f>
        <v>6x7 FEStaal (1770 N/m²)</v>
      </c>
      <c r="AE60" s="63">
        <v>3</v>
      </c>
      <c r="AF60" s="375" t="s">
        <v>412</v>
      </c>
      <c r="AG60" s="63"/>
      <c r="AH60" s="242"/>
      <c r="AI60" s="62" t="str">
        <f t="shared" ref="AI60:AI73" si="2">+AJ60&amp;AK60</f>
        <v>Staal3mm</v>
      </c>
      <c r="AJ60" s="66" t="s">
        <v>82</v>
      </c>
      <c r="AK60" s="63" t="s">
        <v>630</v>
      </c>
      <c r="AL60" s="315" t="s">
        <v>412</v>
      </c>
      <c r="AM60" s="66" t="str">
        <f>AN60&amp;AO60</f>
        <v>DIN 8210110</v>
      </c>
      <c r="AN60" s="66" t="s">
        <v>345</v>
      </c>
      <c r="AO60" s="66">
        <f t="shared" ref="AO60:AO71" si="3">AO4</f>
        <v>10</v>
      </c>
      <c r="AP60" s="315" t="s">
        <v>412</v>
      </c>
      <c r="AR60" s="447" t="s">
        <v>135</v>
      </c>
      <c r="AS60" s="46" t="s">
        <v>666</v>
      </c>
      <c r="AY60" s="437" t="str">
        <f t="shared" ref="AY60:AY77" si="4">AZ60&amp;BA60</f>
        <v>6x7 FEStaal (1770 N/m²)3</v>
      </c>
      <c r="AZ60" s="374" t="str">
        <f>AZ4&amp;AY4</f>
        <v>6x7 FEStaal (1770 N/m²)</v>
      </c>
      <c r="BA60" s="63">
        <v>3</v>
      </c>
      <c r="BB60" s="375" t="s">
        <v>412</v>
      </c>
      <c r="BC60" s="63"/>
    </row>
    <row r="61" spans="2:74" x14ac:dyDescent="0.25">
      <c r="G61" t="s">
        <v>75</v>
      </c>
      <c r="H61" s="305" t="s">
        <v>666</v>
      </c>
      <c r="U61" s="64" t="s">
        <v>134</v>
      </c>
      <c r="V61" s="305" t="s">
        <v>666</v>
      </c>
      <c r="AC61" s="64" t="str">
        <f t="shared" si="1"/>
        <v>6x7 FEStaal (1770 N/m²)4</v>
      </c>
      <c r="AD61" t="str">
        <f>$AD$60</f>
        <v>6x7 FEStaal (1770 N/m²)</v>
      </c>
      <c r="AE61" s="19">
        <v>4</v>
      </c>
      <c r="AF61" s="356" t="s">
        <v>412</v>
      </c>
      <c r="AG61" s="19"/>
      <c r="AH61" s="242"/>
      <c r="AI61" s="64" t="str">
        <f t="shared" si="2"/>
        <v>Staal4mm</v>
      </c>
      <c r="AJ61" t="s">
        <v>82</v>
      </c>
      <c r="AK61" s="19" t="s">
        <v>609</v>
      </c>
      <c r="AL61" s="316" t="s">
        <v>412</v>
      </c>
      <c r="AM61" t="str">
        <f>AN61&amp;AO61</f>
        <v>DIN 8210111</v>
      </c>
      <c r="AN61" t="s">
        <v>345</v>
      </c>
      <c r="AO61">
        <f t="shared" si="3"/>
        <v>11</v>
      </c>
      <c r="AP61" s="316" t="s">
        <v>412</v>
      </c>
      <c r="AR61" s="285" t="s">
        <v>305</v>
      </c>
      <c r="AS61" s="46" t="s">
        <v>666</v>
      </c>
      <c r="AY61" t="str">
        <f t="shared" si="4"/>
        <v>6x7 FEStaal (1770 N/m²)4</v>
      </c>
      <c r="AZ61" t="str">
        <f>AZ60</f>
        <v>6x7 FEStaal (1770 N/m²)</v>
      </c>
      <c r="BA61" s="19">
        <v>4</v>
      </c>
      <c r="BB61" s="356" t="s">
        <v>412</v>
      </c>
      <c r="BC61" s="19"/>
    </row>
    <row r="62" spans="2:74" x14ac:dyDescent="0.25">
      <c r="G62" t="s">
        <v>73</v>
      </c>
      <c r="H62" s="305" t="s">
        <v>666</v>
      </c>
      <c r="U62" s="64" t="s">
        <v>643</v>
      </c>
      <c r="V62" s="305" t="s">
        <v>412</v>
      </c>
      <c r="AC62" s="64" t="str">
        <f t="shared" si="1"/>
        <v>6x7 FEStaal (1770 N/m²)5</v>
      </c>
      <c r="AD62" t="str">
        <f t="shared" ref="AD62:AD82" si="5">$AD$60</f>
        <v>6x7 FEStaal (1770 N/m²)</v>
      </c>
      <c r="AE62" s="19">
        <v>5</v>
      </c>
      <c r="AF62" s="356" t="s">
        <v>412</v>
      </c>
      <c r="AG62" s="19"/>
      <c r="AH62" s="242"/>
      <c r="AI62" s="64" t="str">
        <f t="shared" si="2"/>
        <v>Staal5mm</v>
      </c>
      <c r="AJ62" t="s">
        <v>82</v>
      </c>
      <c r="AK62" s="19" t="s">
        <v>631</v>
      </c>
      <c r="AL62" s="316" t="s">
        <v>412</v>
      </c>
      <c r="AM62" t="str">
        <f>AN62&amp;AO62</f>
        <v>DIN 8210113</v>
      </c>
      <c r="AN62" t="s">
        <v>345</v>
      </c>
      <c r="AO62">
        <f t="shared" si="3"/>
        <v>13</v>
      </c>
      <c r="AP62" s="316" t="s">
        <v>412</v>
      </c>
      <c r="AR62" s="285" t="s">
        <v>137</v>
      </c>
      <c r="AS62" s="46" t="s">
        <v>666</v>
      </c>
      <c r="AY62" t="str">
        <f t="shared" si="4"/>
        <v>6x7 FEStaal (1770 N/m²)5</v>
      </c>
      <c r="AZ62" t="str">
        <f t="shared" ref="AZ62:AZ82" si="6">$AD$60</f>
        <v>6x7 FEStaal (1770 N/m²)</v>
      </c>
      <c r="BA62" s="19">
        <v>5</v>
      </c>
      <c r="BB62" s="356" t="s">
        <v>412</v>
      </c>
      <c r="BC62" s="19"/>
    </row>
    <row r="63" spans="2:74" x14ac:dyDescent="0.25">
      <c r="G63" t="s">
        <v>74</v>
      </c>
      <c r="H63" s="305" t="s">
        <v>666</v>
      </c>
      <c r="U63" s="64" t="s">
        <v>138</v>
      </c>
      <c r="V63" s="19" t="s">
        <v>666</v>
      </c>
      <c r="AC63" s="64" t="str">
        <f t="shared" si="1"/>
        <v>6x7 FEStaal (1770 N/m²)6</v>
      </c>
      <c r="AD63" t="str">
        <f t="shared" si="5"/>
        <v>6x7 FEStaal (1770 N/m²)</v>
      </c>
      <c r="AE63" s="19">
        <v>6</v>
      </c>
      <c r="AF63" s="356" t="s">
        <v>412</v>
      </c>
      <c r="AG63" s="19"/>
      <c r="AH63" s="242"/>
      <c r="AI63" s="64" t="str">
        <f t="shared" si="2"/>
        <v>Staal6mm</v>
      </c>
      <c r="AJ63" t="s">
        <v>82</v>
      </c>
      <c r="AK63" s="19" t="s">
        <v>608</v>
      </c>
      <c r="AL63" s="316" t="s">
        <v>412</v>
      </c>
      <c r="AM63" t="str">
        <f>AN63&amp;AO63</f>
        <v>DIN 8210116</v>
      </c>
      <c r="AN63" t="s">
        <v>345</v>
      </c>
      <c r="AO63">
        <f t="shared" si="3"/>
        <v>16</v>
      </c>
      <c r="AP63" s="337">
        <v>39.24</v>
      </c>
      <c r="AR63" s="285" t="s">
        <v>136</v>
      </c>
      <c r="AS63" s="46" t="s">
        <v>666</v>
      </c>
      <c r="AY63" t="str">
        <f t="shared" si="4"/>
        <v>6x7 FEStaal (1770 N/m²)6</v>
      </c>
      <c r="AZ63" t="str">
        <f t="shared" si="6"/>
        <v>6x7 FEStaal (1770 N/m²)</v>
      </c>
      <c r="BA63" s="19">
        <v>6</v>
      </c>
      <c r="BB63" s="356" t="s">
        <v>412</v>
      </c>
      <c r="BC63" s="19"/>
    </row>
    <row r="64" spans="2:74" x14ac:dyDescent="0.25">
      <c r="G64" t="s">
        <v>3</v>
      </c>
      <c r="H64" s="305" t="s">
        <v>666</v>
      </c>
      <c r="U64" s="64" t="s">
        <v>644</v>
      </c>
      <c r="V64" s="19" t="s">
        <v>666</v>
      </c>
      <c r="AC64" s="64" t="str">
        <f t="shared" si="1"/>
        <v>6x7 FEStaal (1770 N/m²)7</v>
      </c>
      <c r="AD64" t="str">
        <f t="shared" si="5"/>
        <v>6x7 FEStaal (1770 N/m²)</v>
      </c>
      <c r="AE64" s="19">
        <v>7</v>
      </c>
      <c r="AF64" s="356" t="s">
        <v>412</v>
      </c>
      <c r="AG64" s="19"/>
      <c r="AH64" s="242"/>
      <c r="AI64" s="64" t="str">
        <f t="shared" si="2"/>
        <v>Staal8mm</v>
      </c>
      <c r="AJ64" t="s">
        <v>82</v>
      </c>
      <c r="AK64" s="19" t="s">
        <v>607</v>
      </c>
      <c r="AL64" s="316" t="s">
        <v>412</v>
      </c>
      <c r="AM64" t="str">
        <f t="shared" ref="AM64:AM83" si="7">AN64&amp;AO64</f>
        <v>DIN 8210120</v>
      </c>
      <c r="AN64" t="s">
        <v>345</v>
      </c>
      <c r="AO64">
        <f t="shared" si="3"/>
        <v>20</v>
      </c>
      <c r="AP64" s="337">
        <v>62.784000000000006</v>
      </c>
      <c r="AR64" s="285" t="s">
        <v>652</v>
      </c>
      <c r="AS64" s="46" t="s">
        <v>666</v>
      </c>
      <c r="AY64" t="str">
        <f t="shared" si="4"/>
        <v>6x7 FEStaal (1770 N/m²)7</v>
      </c>
      <c r="AZ64" t="str">
        <f t="shared" si="6"/>
        <v>6x7 FEStaal (1770 N/m²)</v>
      </c>
      <c r="BA64" s="19">
        <v>7</v>
      </c>
      <c r="BB64" s="356" t="s">
        <v>412</v>
      </c>
      <c r="BC64" s="19"/>
    </row>
    <row r="65" spans="7:55" x14ac:dyDescent="0.25">
      <c r="G65" t="s">
        <v>76</v>
      </c>
      <c r="H65" s="305" t="s">
        <v>666</v>
      </c>
      <c r="U65" s="64" t="s">
        <v>305</v>
      </c>
      <c r="V65" s="305" t="s">
        <v>666</v>
      </c>
      <c r="AC65" s="64" t="str">
        <f t="shared" si="1"/>
        <v>6x7 FEStaal (1770 N/m²)8</v>
      </c>
      <c r="AD65" t="str">
        <f t="shared" si="5"/>
        <v>6x7 FEStaal (1770 N/m²)</v>
      </c>
      <c r="AE65" s="19">
        <v>8</v>
      </c>
      <c r="AF65" s="355">
        <v>37.081800000000001</v>
      </c>
      <c r="AG65" s="19"/>
      <c r="AH65" s="242"/>
      <c r="AI65" s="64" t="str">
        <f t="shared" si="2"/>
        <v>Staal10mm</v>
      </c>
      <c r="AJ65" t="s">
        <v>82</v>
      </c>
      <c r="AK65" s="19" t="s">
        <v>606</v>
      </c>
      <c r="AL65" s="316">
        <f>500*10/1000*5</f>
        <v>25</v>
      </c>
      <c r="AM65" t="str">
        <f t="shared" si="7"/>
        <v>DIN 8210122</v>
      </c>
      <c r="AN65" t="s">
        <v>345</v>
      </c>
      <c r="AO65">
        <f t="shared" si="3"/>
        <v>22</v>
      </c>
      <c r="AP65" s="337">
        <v>78.48</v>
      </c>
      <c r="AR65" s="285" t="s">
        <v>134</v>
      </c>
      <c r="AS65" s="46" t="s">
        <v>666</v>
      </c>
      <c r="AY65" t="str">
        <f t="shared" si="4"/>
        <v>6x7 FEStaal (1770 N/m²)8</v>
      </c>
      <c r="AZ65" t="str">
        <f t="shared" si="6"/>
        <v>6x7 FEStaal (1770 N/m²)</v>
      </c>
      <c r="BA65" s="19">
        <v>8</v>
      </c>
      <c r="BB65" s="355">
        <v>37.081800000000001</v>
      </c>
      <c r="BC65" s="19"/>
    </row>
    <row r="66" spans="7:55" x14ac:dyDescent="0.25">
      <c r="G66" t="s">
        <v>77</v>
      </c>
      <c r="H66" s="305" t="s">
        <v>666</v>
      </c>
      <c r="U66" s="64" t="s">
        <v>137</v>
      </c>
      <c r="V66" s="305" t="s">
        <v>666</v>
      </c>
      <c r="AC66" s="64" t="str">
        <f t="shared" si="1"/>
        <v>6x7 FEStaal (1770 N/m²)9</v>
      </c>
      <c r="AD66" t="str">
        <f t="shared" si="5"/>
        <v>6x7 FEStaal (1770 N/m²)</v>
      </c>
      <c r="AE66" s="19">
        <v>9</v>
      </c>
      <c r="AF66" s="356" t="s">
        <v>412</v>
      </c>
      <c r="AG66" s="19"/>
      <c r="AH66" s="242"/>
      <c r="AI66" s="64" t="str">
        <f t="shared" si="2"/>
        <v>Staal12mm</v>
      </c>
      <c r="AJ66" t="s">
        <v>82</v>
      </c>
      <c r="AK66" s="19" t="s">
        <v>605</v>
      </c>
      <c r="AL66" s="316">
        <f>700*10/1000*5</f>
        <v>35</v>
      </c>
      <c r="AM66" t="str">
        <f t="shared" si="7"/>
        <v>DIN 8210124</v>
      </c>
      <c r="AN66" t="s">
        <v>345</v>
      </c>
      <c r="AO66">
        <f t="shared" si="3"/>
        <v>24</v>
      </c>
      <c r="AP66" s="337">
        <v>98.100000000000009</v>
      </c>
      <c r="AR66" s="285" t="s">
        <v>288</v>
      </c>
      <c r="AS66" s="510" t="s">
        <v>666</v>
      </c>
      <c r="AY66" t="str">
        <f t="shared" si="4"/>
        <v>6x7 FEStaal (1770 N/m²)9</v>
      </c>
      <c r="AZ66" t="str">
        <f t="shared" si="6"/>
        <v>6x7 FEStaal (1770 N/m²)</v>
      </c>
      <c r="BA66" s="19">
        <v>9</v>
      </c>
      <c r="BB66" s="356" t="s">
        <v>412</v>
      </c>
      <c r="BC66" s="19"/>
    </row>
    <row r="67" spans="7:55" x14ac:dyDescent="0.25">
      <c r="G67" t="s">
        <v>79</v>
      </c>
      <c r="H67" s="305" t="s">
        <v>666</v>
      </c>
      <c r="U67" s="64" t="s">
        <v>136</v>
      </c>
      <c r="V67" s="305" t="s">
        <v>666</v>
      </c>
      <c r="AC67" s="64" t="str">
        <f t="shared" si="1"/>
        <v>6x7 FEStaal (1770 N/m²)10</v>
      </c>
      <c r="AD67" t="str">
        <f t="shared" si="5"/>
        <v>6x7 FEStaal (1770 N/m²)</v>
      </c>
      <c r="AE67" s="19">
        <v>10</v>
      </c>
      <c r="AF67" s="355">
        <v>55.818900000000006</v>
      </c>
      <c r="AG67" s="19"/>
      <c r="AH67" s="242"/>
      <c r="AI67" s="64" t="str">
        <f t="shared" si="2"/>
        <v>Staal14mm</v>
      </c>
      <c r="AJ67" t="s">
        <v>82</v>
      </c>
      <c r="AK67" s="19" t="s">
        <v>604</v>
      </c>
      <c r="AL67" s="316" t="s">
        <v>412</v>
      </c>
      <c r="AM67" t="str">
        <f t="shared" si="7"/>
        <v>DIN 8210127</v>
      </c>
      <c r="AN67" t="s">
        <v>345</v>
      </c>
      <c r="AO67">
        <f t="shared" si="3"/>
        <v>27</v>
      </c>
      <c r="AP67" s="337">
        <v>121.64400000000001</v>
      </c>
      <c r="AR67" s="285" t="s">
        <v>289</v>
      </c>
      <c r="AS67" s="510" t="s">
        <v>666</v>
      </c>
      <c r="AY67" t="str">
        <f t="shared" si="4"/>
        <v>6x7 FEStaal (1770 N/m²)10</v>
      </c>
      <c r="AZ67" t="str">
        <f t="shared" si="6"/>
        <v>6x7 FEStaal (1770 N/m²)</v>
      </c>
      <c r="BA67" s="19">
        <v>10</v>
      </c>
      <c r="BB67" s="355">
        <v>55.818900000000006</v>
      </c>
      <c r="BC67" s="19"/>
    </row>
    <row r="68" spans="7:55" x14ac:dyDescent="0.25">
      <c r="G68" t="s">
        <v>94</v>
      </c>
      <c r="H68" s="305" t="s">
        <v>666</v>
      </c>
      <c r="U68" s="64" t="s">
        <v>652</v>
      </c>
      <c r="V68" s="305" t="s">
        <v>666</v>
      </c>
      <c r="AC68" s="64" t="str">
        <f t="shared" si="1"/>
        <v>6x7 FEStaal (1770 N/m²)11</v>
      </c>
      <c r="AD68" t="str">
        <f t="shared" si="5"/>
        <v>6x7 FEStaal (1770 N/m²)</v>
      </c>
      <c r="AE68" s="19">
        <v>11</v>
      </c>
      <c r="AF68" s="356" t="s">
        <v>407</v>
      </c>
      <c r="AG68" s="19"/>
      <c r="AH68" s="242"/>
      <c r="AI68" s="64" t="str">
        <f t="shared" si="2"/>
        <v>Staal16mm</v>
      </c>
      <c r="AJ68" t="s">
        <v>82</v>
      </c>
      <c r="AK68" s="19" t="s">
        <v>603</v>
      </c>
      <c r="AL68" s="316">
        <f>1200/100*5</f>
        <v>60</v>
      </c>
      <c r="AM68" t="str">
        <f t="shared" si="7"/>
        <v>DIN 8210130</v>
      </c>
      <c r="AN68" t="s">
        <v>345</v>
      </c>
      <c r="AO68">
        <f t="shared" si="3"/>
        <v>30</v>
      </c>
      <c r="AP68" s="337">
        <v>156.96</v>
      </c>
      <c r="AR68" s="285" t="s">
        <v>290</v>
      </c>
      <c r="AS68" s="510" t="s">
        <v>666</v>
      </c>
      <c r="AY68" t="str">
        <f t="shared" si="4"/>
        <v>6x7 FEStaal (1770 N/m²)11</v>
      </c>
      <c r="AZ68" t="str">
        <f t="shared" si="6"/>
        <v>6x7 FEStaal (1770 N/m²)</v>
      </c>
      <c r="BA68" s="19">
        <v>11</v>
      </c>
      <c r="BB68" s="356" t="s">
        <v>407</v>
      </c>
      <c r="BC68" s="19"/>
    </row>
    <row r="69" spans="7:55" x14ac:dyDescent="0.25">
      <c r="G69" s="305" t="s">
        <v>412</v>
      </c>
      <c r="H69" s="305" t="s">
        <v>412</v>
      </c>
      <c r="U69" s="64" t="s">
        <v>703</v>
      </c>
      <c r="V69" s="305" t="s">
        <v>666</v>
      </c>
      <c r="AC69" s="64" t="str">
        <f t="shared" ref="AC69:AC77" si="8">AD69&amp;AE69</f>
        <v>6x7 FEStaal (1770 N/m²)12</v>
      </c>
      <c r="AD69" t="str">
        <f t="shared" si="5"/>
        <v>6x7 FEStaal (1770 N/m²)</v>
      </c>
      <c r="AE69" s="19">
        <v>12</v>
      </c>
      <c r="AF69" s="355">
        <v>77.989500000000007</v>
      </c>
      <c r="AG69" s="19"/>
      <c r="AH69" s="242"/>
      <c r="AI69" s="64" t="str">
        <f t="shared" si="2"/>
        <v>Staal18mm</v>
      </c>
      <c r="AJ69" t="s">
        <v>82</v>
      </c>
      <c r="AK69" s="19" t="s">
        <v>360</v>
      </c>
      <c r="AL69" s="587" t="s">
        <v>412</v>
      </c>
      <c r="AM69" t="str">
        <f t="shared" si="7"/>
        <v>DIN 8210136</v>
      </c>
      <c r="AN69" t="s">
        <v>345</v>
      </c>
      <c r="AO69">
        <f t="shared" si="3"/>
        <v>36</v>
      </c>
      <c r="AP69" s="337">
        <v>196.20000000000002</v>
      </c>
      <c r="AR69" s="285" t="s">
        <v>291</v>
      </c>
      <c r="AS69" s="510" t="s">
        <v>666</v>
      </c>
      <c r="AY69" t="str">
        <f t="shared" si="4"/>
        <v>6x7 FEStaal (1770 N/m²)12</v>
      </c>
      <c r="AZ69" t="str">
        <f t="shared" si="6"/>
        <v>6x7 FEStaal (1770 N/m²)</v>
      </c>
      <c r="BA69" s="19">
        <v>12</v>
      </c>
      <c r="BB69" s="355">
        <v>77.989500000000007</v>
      </c>
      <c r="BC69" s="19"/>
    </row>
    <row r="70" spans="7:55" x14ac:dyDescent="0.25">
      <c r="H70" s="305"/>
      <c r="U70" s="64" t="s">
        <v>657</v>
      </c>
      <c r="V70" s="305" t="s">
        <v>412</v>
      </c>
      <c r="AC70" s="64" t="str">
        <f t="shared" si="8"/>
        <v>6x7 FEStaal (1770 N/m²)13</v>
      </c>
      <c r="AD70" t="str">
        <f t="shared" si="5"/>
        <v>6x7 FEStaal (1770 N/m²)</v>
      </c>
      <c r="AE70" s="19">
        <v>13</v>
      </c>
      <c r="AF70" s="356" t="s">
        <v>407</v>
      </c>
      <c r="AG70" s="19"/>
      <c r="AH70" s="242"/>
      <c r="AI70" s="64" t="str">
        <f t="shared" si="2"/>
        <v>Staal19mm</v>
      </c>
      <c r="AJ70" t="s">
        <v>82</v>
      </c>
      <c r="AK70" s="19" t="s">
        <v>624</v>
      </c>
      <c r="AL70" s="316" t="s">
        <v>412</v>
      </c>
      <c r="AM70" t="str">
        <f t="shared" si="7"/>
        <v>DIN 8210138</v>
      </c>
      <c r="AN70" t="s">
        <v>345</v>
      </c>
      <c r="AO70">
        <f t="shared" si="3"/>
        <v>38</v>
      </c>
      <c r="AP70" s="337">
        <v>247.21200000000002</v>
      </c>
      <c r="AR70" s="285" t="s">
        <v>684</v>
      </c>
      <c r="AS70" s="510" t="s">
        <v>666</v>
      </c>
      <c r="AY70" t="str">
        <f t="shared" si="4"/>
        <v>6x7 FEStaal (1770 N/m²)13</v>
      </c>
      <c r="AZ70" t="str">
        <f t="shared" si="6"/>
        <v>6x7 FEStaal (1770 N/m²)</v>
      </c>
      <c r="BA70" s="19">
        <v>13</v>
      </c>
      <c r="BB70" s="356" t="s">
        <v>407</v>
      </c>
      <c r="BC70" s="19"/>
    </row>
    <row r="71" spans="7:55" x14ac:dyDescent="0.25">
      <c r="H71" s="305"/>
      <c r="U71" s="64" t="s">
        <v>655</v>
      </c>
      <c r="V71" s="305" t="s">
        <v>666</v>
      </c>
      <c r="AC71" s="64" t="str">
        <f t="shared" si="8"/>
        <v>6x7 FEStaal (1770 N/m²)14</v>
      </c>
      <c r="AD71" t="str">
        <f t="shared" si="5"/>
        <v>6x7 FEStaal (1770 N/m²)</v>
      </c>
      <c r="AE71" s="19">
        <v>14</v>
      </c>
      <c r="AF71" s="355">
        <v>103.69170000000001</v>
      </c>
      <c r="AG71" s="19"/>
      <c r="AH71" s="242"/>
      <c r="AI71" s="64" t="str">
        <f t="shared" si="2"/>
        <v>Staal20mm</v>
      </c>
      <c r="AJ71" t="s">
        <v>82</v>
      </c>
      <c r="AK71" s="19" t="s">
        <v>623</v>
      </c>
      <c r="AL71" s="316">
        <f>1500/100*5</f>
        <v>75</v>
      </c>
      <c r="AM71" t="str">
        <f t="shared" si="7"/>
        <v>DIN 8210145</v>
      </c>
      <c r="AN71" t="s">
        <v>345</v>
      </c>
      <c r="AO71">
        <f t="shared" si="3"/>
        <v>45</v>
      </c>
      <c r="AP71" s="337">
        <v>313.92</v>
      </c>
      <c r="AR71" s="285" t="s">
        <v>292</v>
      </c>
      <c r="AS71" s="510" t="s">
        <v>666</v>
      </c>
      <c r="AY71" t="str">
        <f t="shared" si="4"/>
        <v>6x7 FEStaal (1770 N/m²)14</v>
      </c>
      <c r="AZ71" t="str">
        <f t="shared" si="6"/>
        <v>6x7 FEStaal (1770 N/m²)</v>
      </c>
      <c r="BA71" s="19">
        <v>14</v>
      </c>
      <c r="BB71" s="355">
        <v>103.69170000000001</v>
      </c>
      <c r="BC71" s="19"/>
    </row>
    <row r="72" spans="7:55" x14ac:dyDescent="0.25">
      <c r="U72" s="64" t="s">
        <v>286</v>
      </c>
      <c r="V72" s="305" t="s">
        <v>666</v>
      </c>
      <c r="AC72" s="64" t="str">
        <f t="shared" si="8"/>
        <v>6x7 FEStaal (1770 N/m²)15</v>
      </c>
      <c r="AD72" t="str">
        <f t="shared" si="5"/>
        <v>6x7 FEStaal (1770 N/m²)</v>
      </c>
      <c r="AE72" s="19">
        <v>15</v>
      </c>
      <c r="AF72" s="356" t="s">
        <v>407</v>
      </c>
      <c r="AG72" s="19"/>
      <c r="AH72" s="242"/>
      <c r="AI72" s="64" t="str">
        <f t="shared" si="2"/>
        <v>Staal22mm</v>
      </c>
      <c r="AJ72" t="s">
        <v>82</v>
      </c>
      <c r="AK72" s="19" t="s">
        <v>361</v>
      </c>
      <c r="AL72" s="325">
        <f>22*5</f>
        <v>110</v>
      </c>
      <c r="AM72" s="62" t="str">
        <f t="shared" si="7"/>
        <v>Green Pin H10</v>
      </c>
      <c r="AN72" s="66" t="s">
        <v>632</v>
      </c>
      <c r="AO72" s="66">
        <f t="shared" ref="AO72:AO83" si="9">AO4</f>
        <v>10</v>
      </c>
      <c r="AP72" s="334">
        <v>41.201999999999998</v>
      </c>
      <c r="AR72" s="285" t="s">
        <v>293</v>
      </c>
      <c r="AS72" s="510" t="s">
        <v>666</v>
      </c>
      <c r="AY72" t="str">
        <f t="shared" si="4"/>
        <v>6x7 FEStaal (1770 N/m²)15</v>
      </c>
      <c r="AZ72" t="str">
        <f t="shared" si="6"/>
        <v>6x7 FEStaal (1770 N/m²)</v>
      </c>
      <c r="BA72" s="19">
        <v>15</v>
      </c>
      <c r="BB72" s="356" t="s">
        <v>407</v>
      </c>
      <c r="BC72" s="19"/>
    </row>
    <row r="73" spans="7:55" x14ac:dyDescent="0.25">
      <c r="H73" s="305"/>
      <c r="U73" s="64" t="s">
        <v>633</v>
      </c>
      <c r="V73" s="305" t="s">
        <v>412</v>
      </c>
      <c r="AC73" s="64" t="str">
        <f t="shared" si="8"/>
        <v>6x7 FEStaal (1770 N/m²)16</v>
      </c>
      <c r="AD73" t="str">
        <f t="shared" si="5"/>
        <v>6x7 FEStaal (1770 N/m²)</v>
      </c>
      <c r="AE73" s="19">
        <v>16</v>
      </c>
      <c r="AF73" s="355">
        <v>134.69130000000001</v>
      </c>
      <c r="AG73" s="19"/>
      <c r="AH73" s="242"/>
      <c r="AI73" s="64" t="str">
        <f t="shared" si="2"/>
        <v>Staal24mm</v>
      </c>
      <c r="AJ73" t="s">
        <v>82</v>
      </c>
      <c r="AK73" s="19" t="s">
        <v>362</v>
      </c>
      <c r="AL73" s="325">
        <f>32*5</f>
        <v>160</v>
      </c>
      <c r="AM73" s="64" t="str">
        <f t="shared" si="7"/>
        <v>Green Pin H11</v>
      </c>
      <c r="AN73" t="s">
        <v>632</v>
      </c>
      <c r="AO73">
        <f t="shared" si="9"/>
        <v>11</v>
      </c>
      <c r="AP73" s="335">
        <v>58.86</v>
      </c>
      <c r="AR73" s="285" t="s">
        <v>784</v>
      </c>
      <c r="AS73" s="510" t="s">
        <v>666</v>
      </c>
      <c r="AY73" t="str">
        <f t="shared" si="4"/>
        <v>6x7 FEStaal (1770 N/m²)16</v>
      </c>
      <c r="AZ73" t="str">
        <f t="shared" si="6"/>
        <v>6x7 FEStaal (1770 N/m²)</v>
      </c>
      <c r="BA73" s="19">
        <v>16</v>
      </c>
      <c r="BB73" s="355">
        <v>134.69130000000001</v>
      </c>
      <c r="BC73" s="19"/>
    </row>
    <row r="74" spans="7:55" x14ac:dyDescent="0.25">
      <c r="AC74" s="64" t="str">
        <f t="shared" si="8"/>
        <v>6x7 FEStaal (1770 N/m²)17</v>
      </c>
      <c r="AD74" t="str">
        <f t="shared" si="5"/>
        <v>6x7 FEStaal (1770 N/m²)</v>
      </c>
      <c r="AE74" s="19">
        <v>17</v>
      </c>
      <c r="AF74" s="356" t="s">
        <v>407</v>
      </c>
      <c r="AG74" s="19"/>
      <c r="AH74" s="242"/>
      <c r="AI74" s="64" t="str">
        <f t="shared" ref="AI74:AI78" si="10">+AJ74&amp;AK74</f>
        <v>Staal26mm</v>
      </c>
      <c r="AJ74" t="s">
        <v>82</v>
      </c>
      <c r="AK74" s="19" t="s">
        <v>629</v>
      </c>
      <c r="AL74" s="316" t="s">
        <v>412</v>
      </c>
      <c r="AM74" s="64" t="str">
        <f t="shared" si="7"/>
        <v>Green Pin H13</v>
      </c>
      <c r="AN74" t="s">
        <v>632</v>
      </c>
      <c r="AO74">
        <f t="shared" si="9"/>
        <v>13</v>
      </c>
      <c r="AP74" s="335">
        <v>88.29</v>
      </c>
      <c r="AR74" s="285" t="s">
        <v>785</v>
      </c>
      <c r="AS74" s="510" t="s">
        <v>666</v>
      </c>
      <c r="AY74" t="str">
        <f t="shared" si="4"/>
        <v>6x7 FEStaal (1770 N/m²)17</v>
      </c>
      <c r="AZ74" t="str">
        <f t="shared" si="6"/>
        <v>6x7 FEStaal (1770 N/m²)</v>
      </c>
      <c r="BA74" s="19">
        <v>17</v>
      </c>
      <c r="BB74" s="356" t="s">
        <v>407</v>
      </c>
      <c r="BC74" s="19"/>
    </row>
    <row r="75" spans="7:55" x14ac:dyDescent="0.25">
      <c r="AC75" s="64" t="str">
        <f t="shared" si="8"/>
        <v>6x7 FEStaal (1770 N/m²)18</v>
      </c>
      <c r="AD75" t="str">
        <f t="shared" si="5"/>
        <v>6x7 FEStaal (1770 N/m²)</v>
      </c>
      <c r="AE75" s="19">
        <v>18</v>
      </c>
      <c r="AF75" s="355">
        <v>168.43770000000004</v>
      </c>
      <c r="AG75" s="19"/>
      <c r="AH75" s="242"/>
      <c r="AI75" s="64" t="str">
        <f t="shared" si="10"/>
        <v>Staal28mm</v>
      </c>
      <c r="AJ75" t="s">
        <v>82</v>
      </c>
      <c r="AK75" s="19" t="s">
        <v>363</v>
      </c>
      <c r="AL75" s="587" t="s">
        <v>412</v>
      </c>
      <c r="AM75" s="64" t="str">
        <f t="shared" si="7"/>
        <v>Green Pin H16</v>
      </c>
      <c r="AN75" t="s">
        <v>632</v>
      </c>
      <c r="AO75">
        <f t="shared" si="9"/>
        <v>16</v>
      </c>
      <c r="AP75" s="335">
        <v>117.72</v>
      </c>
      <c r="AR75" s="285" t="s">
        <v>294</v>
      </c>
      <c r="AS75" s="510" t="s">
        <v>666</v>
      </c>
      <c r="AY75" t="str">
        <f t="shared" si="4"/>
        <v>6x7 FEStaal (1770 N/m²)18</v>
      </c>
      <c r="AZ75" t="str">
        <f t="shared" si="6"/>
        <v>6x7 FEStaal (1770 N/m²)</v>
      </c>
      <c r="BA75" s="19">
        <v>18</v>
      </c>
      <c r="BB75" s="355">
        <v>168.43770000000004</v>
      </c>
      <c r="BC75" s="19"/>
    </row>
    <row r="76" spans="7:55" x14ac:dyDescent="0.25">
      <c r="V76" s="305"/>
      <c r="AC76" s="64" t="str">
        <f t="shared" si="8"/>
        <v>6x7 FEStaal (1770 N/m²)19</v>
      </c>
      <c r="AD76" t="str">
        <f t="shared" si="5"/>
        <v>6x7 FEStaal (1770 N/m²)</v>
      </c>
      <c r="AE76" s="19">
        <v>19</v>
      </c>
      <c r="AF76" s="356" t="s">
        <v>412</v>
      </c>
      <c r="AG76" s="19"/>
      <c r="AH76" s="242"/>
      <c r="AI76" s="64" t="str">
        <f t="shared" si="10"/>
        <v>Staal30mm</v>
      </c>
      <c r="AJ76" t="s">
        <v>82</v>
      </c>
      <c r="AK76" s="19" t="s">
        <v>364</v>
      </c>
      <c r="AL76" s="587" t="s">
        <v>412</v>
      </c>
      <c r="AM76" s="64" t="str">
        <f t="shared" si="7"/>
        <v>Green Pin H20</v>
      </c>
      <c r="AN76" t="s">
        <v>632</v>
      </c>
      <c r="AO76">
        <f t="shared" si="9"/>
        <v>20</v>
      </c>
      <c r="AP76" s="335">
        <v>191.29500000000002</v>
      </c>
      <c r="AR76" s="285" t="s">
        <v>295</v>
      </c>
      <c r="AS76" s="510" t="s">
        <v>666</v>
      </c>
      <c r="AY76" t="str">
        <f t="shared" si="4"/>
        <v>6x7 FEStaal (1770 N/m²)19</v>
      </c>
      <c r="AZ76" t="str">
        <f t="shared" si="6"/>
        <v>6x7 FEStaal (1770 N/m²)</v>
      </c>
      <c r="BA76" s="19">
        <v>19</v>
      </c>
      <c r="BB76" s="356" t="s">
        <v>412</v>
      </c>
      <c r="BC76" s="19"/>
    </row>
    <row r="77" spans="7:55" x14ac:dyDescent="0.25">
      <c r="V77" s="305"/>
      <c r="AC77" s="64" t="str">
        <f t="shared" si="8"/>
        <v>6x7 FEStaal (1770 N/m²)20</v>
      </c>
      <c r="AD77" t="str">
        <f t="shared" si="5"/>
        <v>6x7 FEStaal (1770 N/m²)</v>
      </c>
      <c r="AE77" s="19">
        <v>20</v>
      </c>
      <c r="AF77" s="355">
        <v>221.31360000000001</v>
      </c>
      <c r="AG77" s="19"/>
      <c r="AH77" s="242"/>
      <c r="AI77" s="64" t="str">
        <f t="shared" si="10"/>
        <v>Staal32mm</v>
      </c>
      <c r="AJ77" t="s">
        <v>82</v>
      </c>
      <c r="AK77" s="19" t="s">
        <v>365</v>
      </c>
      <c r="AL77" s="325">
        <f>48*5</f>
        <v>240</v>
      </c>
      <c r="AM77" s="64" t="str">
        <f t="shared" si="7"/>
        <v>Green Pin H22</v>
      </c>
      <c r="AN77" t="s">
        <v>632</v>
      </c>
      <c r="AO77">
        <f t="shared" si="9"/>
        <v>22</v>
      </c>
      <c r="AP77" s="335">
        <v>279.58500000000004</v>
      </c>
      <c r="AR77" s="285" t="s">
        <v>296</v>
      </c>
      <c r="AS77" s="510" t="s">
        <v>666</v>
      </c>
      <c r="AY77" t="str">
        <f t="shared" si="4"/>
        <v>6x7 FEStaal (1770 N/m²)20</v>
      </c>
      <c r="AZ77" t="str">
        <f t="shared" si="6"/>
        <v>6x7 FEStaal (1770 N/m²)</v>
      </c>
      <c r="BA77" s="19">
        <v>20</v>
      </c>
      <c r="BB77" s="355">
        <v>221.31360000000001</v>
      </c>
      <c r="BC77" s="19"/>
    </row>
    <row r="78" spans="7:55" x14ac:dyDescent="0.25">
      <c r="AC78" s="64" t="str">
        <f>AD78&amp;AE78</f>
        <v>6x7 FEStaal (1770 N/m²)22</v>
      </c>
      <c r="AD78" t="str">
        <f t="shared" si="5"/>
        <v>6x7 FEStaal (1770 N/m²)</v>
      </c>
      <c r="AE78" s="19">
        <v>22</v>
      </c>
      <c r="AF78" s="356" t="s">
        <v>412</v>
      </c>
      <c r="AG78" s="19"/>
      <c r="AH78" s="242"/>
      <c r="AI78" s="64" t="str">
        <f t="shared" si="10"/>
        <v>Staal36mm</v>
      </c>
      <c r="AJ78" t="s">
        <v>82</v>
      </c>
      <c r="AK78" s="19" t="s">
        <v>366</v>
      </c>
      <c r="AL78" s="587" t="s">
        <v>412</v>
      </c>
      <c r="AM78" s="64" t="str">
        <f t="shared" si="7"/>
        <v>Green Pin H24</v>
      </c>
      <c r="AN78" t="s">
        <v>632</v>
      </c>
      <c r="AO78">
        <f t="shared" si="9"/>
        <v>24</v>
      </c>
      <c r="AP78" s="335">
        <v>382.59000000000003</v>
      </c>
      <c r="AR78" s="285" t="s">
        <v>297</v>
      </c>
      <c r="AS78" s="510" t="s">
        <v>666</v>
      </c>
      <c r="AY78" t="str">
        <f>AZ78&amp;BA78</f>
        <v>6x7 FEStaal (1770 N/m²)22</v>
      </c>
      <c r="AZ78" t="str">
        <f t="shared" si="6"/>
        <v>6x7 FEStaal (1770 N/m²)</v>
      </c>
      <c r="BA78" s="19">
        <v>22</v>
      </c>
      <c r="BB78" s="356" t="s">
        <v>412</v>
      </c>
      <c r="BC78" s="19"/>
    </row>
    <row r="79" spans="7:55" x14ac:dyDescent="0.25">
      <c r="H79" s="305"/>
      <c r="V79" s="305"/>
      <c r="AC79" s="64" t="str">
        <f>AD79&amp;AE79</f>
        <v>6x7 FEStaal (1770 N/m²)24</v>
      </c>
      <c r="AD79" t="str">
        <f t="shared" si="5"/>
        <v>6x7 FEStaal (1770 N/m²)</v>
      </c>
      <c r="AE79" s="19">
        <v>24</v>
      </c>
      <c r="AF79" s="356" t="s">
        <v>412</v>
      </c>
      <c r="AG79" s="19"/>
      <c r="AI79" s="64" t="str">
        <f t="shared" ref="AI79" si="11">+AJ79&amp;AK79</f>
        <v>Staal38mm</v>
      </c>
      <c r="AJ79" t="s">
        <v>82</v>
      </c>
      <c r="AK79" s="19" t="s">
        <v>885</v>
      </c>
      <c r="AL79" s="587">
        <f>60*5</f>
        <v>300</v>
      </c>
      <c r="AM79" s="64" t="str">
        <f t="shared" si="7"/>
        <v>Green Pin H27</v>
      </c>
      <c r="AN79" t="s">
        <v>632</v>
      </c>
      <c r="AO79">
        <f t="shared" si="9"/>
        <v>27</v>
      </c>
      <c r="AP79" s="335">
        <v>500.31</v>
      </c>
      <c r="AR79" s="285" t="s">
        <v>685</v>
      </c>
      <c r="AS79" s="505" t="s">
        <v>666</v>
      </c>
      <c r="AY79" t="str">
        <f>AZ79&amp;BA79</f>
        <v>6x7 FEStaal (1770 N/m²)24</v>
      </c>
      <c r="AZ79" t="str">
        <f t="shared" si="6"/>
        <v>6x7 FEStaal (1770 N/m²)</v>
      </c>
      <c r="BA79" s="19">
        <v>24</v>
      </c>
      <c r="BB79" s="356" t="s">
        <v>412</v>
      </c>
      <c r="BC79" s="19"/>
    </row>
    <row r="80" spans="7:55" x14ac:dyDescent="0.25">
      <c r="V80" s="305"/>
      <c r="AC80" s="64" t="str">
        <f>AD80&amp;AE80</f>
        <v>6x7 FEStaal (1770 N/m²)26</v>
      </c>
      <c r="AD80" t="str">
        <f t="shared" si="5"/>
        <v>6x7 FEStaal (1770 N/m²)</v>
      </c>
      <c r="AE80" s="19">
        <v>26</v>
      </c>
      <c r="AF80" s="356" t="s">
        <v>412</v>
      </c>
      <c r="AG80" s="19"/>
      <c r="AI80" s="64" t="str">
        <f t="shared" ref="AI80:AI107" si="12">+AJ80&amp;AK80</f>
        <v>Staal44mm</v>
      </c>
      <c r="AJ80" t="s">
        <v>82</v>
      </c>
      <c r="AK80" s="19" t="s">
        <v>367</v>
      </c>
      <c r="AL80" s="325">
        <f>85*5</f>
        <v>425</v>
      </c>
      <c r="AM80" s="64" t="str">
        <f t="shared" si="7"/>
        <v>Green Pin H30</v>
      </c>
      <c r="AN80" t="s">
        <v>632</v>
      </c>
      <c r="AO80">
        <f t="shared" si="9"/>
        <v>30</v>
      </c>
      <c r="AP80" s="335">
        <v>559.17000000000007</v>
      </c>
      <c r="AR80" s="285" t="s">
        <v>686</v>
      </c>
      <c r="AS80" s="505" t="s">
        <v>666</v>
      </c>
      <c r="AY80" t="str">
        <f>AZ80&amp;BA80</f>
        <v>6x7 FEStaal (1770 N/m²)26</v>
      </c>
      <c r="AZ80" t="str">
        <f t="shared" si="6"/>
        <v>6x7 FEStaal (1770 N/m²)</v>
      </c>
      <c r="BA80" s="19">
        <v>26</v>
      </c>
      <c r="BB80" s="356" t="s">
        <v>412</v>
      </c>
      <c r="BC80" s="19"/>
    </row>
    <row r="81" spans="21:74" x14ac:dyDescent="0.25">
      <c r="V81" s="305"/>
      <c r="AC81" s="64" t="str">
        <f>AD81&amp;AE81</f>
        <v>6x7 FEStaal (1770 N/m²)28</v>
      </c>
      <c r="AD81" t="str">
        <f t="shared" si="5"/>
        <v>6x7 FEStaal (1770 N/m²)</v>
      </c>
      <c r="AE81" s="19">
        <v>28</v>
      </c>
      <c r="AF81" s="356" t="s">
        <v>412</v>
      </c>
      <c r="AG81" s="19"/>
      <c r="AI81" s="64" t="str">
        <f t="shared" si="12"/>
        <v>Staal48mm</v>
      </c>
      <c r="AJ81" t="s">
        <v>82</v>
      </c>
      <c r="AK81" s="19" t="s">
        <v>368</v>
      </c>
      <c r="AL81" s="587" t="s">
        <v>412</v>
      </c>
      <c r="AM81" s="64" t="str">
        <f t="shared" si="7"/>
        <v>Green Pin H36</v>
      </c>
      <c r="AN81" t="s">
        <v>632</v>
      </c>
      <c r="AO81">
        <f t="shared" si="9"/>
        <v>36</v>
      </c>
      <c r="AP81" s="335">
        <v>706.32</v>
      </c>
      <c r="AR81" s="285" t="s">
        <v>298</v>
      </c>
      <c r="AS81" s="505" t="s">
        <v>666</v>
      </c>
      <c r="AY81" t="str">
        <f>AZ81&amp;BA81</f>
        <v>6x7 FEStaal (1770 N/m²)28</v>
      </c>
      <c r="AZ81" t="str">
        <f t="shared" si="6"/>
        <v>6x7 FEStaal (1770 N/m²)</v>
      </c>
      <c r="BA81" s="19">
        <v>28</v>
      </c>
      <c r="BB81" s="356" t="s">
        <v>412</v>
      </c>
      <c r="BC81" s="19"/>
    </row>
    <row r="82" spans="21:74" x14ac:dyDescent="0.25">
      <c r="V82" s="305"/>
      <c r="AC82" s="65" t="str">
        <f>AD82&amp;AE82</f>
        <v>6x7 FEStaal (1770 N/m²)30</v>
      </c>
      <c r="AD82" s="67" t="str">
        <f t="shared" si="5"/>
        <v>6x7 FEStaal (1770 N/m²)</v>
      </c>
      <c r="AE82" s="379">
        <v>30</v>
      </c>
      <c r="AF82" s="356" t="s">
        <v>412</v>
      </c>
      <c r="AG82" s="379"/>
      <c r="AI82" s="64" t="str">
        <f t="shared" si="12"/>
        <v>Staal50mm</v>
      </c>
      <c r="AJ82" t="s">
        <v>82</v>
      </c>
      <c r="AK82" s="19" t="s">
        <v>886</v>
      </c>
      <c r="AL82" s="587">
        <f>110*5</f>
        <v>550</v>
      </c>
      <c r="AM82" s="64" t="str">
        <f t="shared" si="7"/>
        <v>Green Pin H38</v>
      </c>
      <c r="AN82" t="s">
        <v>632</v>
      </c>
      <c r="AO82">
        <f t="shared" si="9"/>
        <v>38</v>
      </c>
      <c r="AP82" s="335">
        <v>1000.62</v>
      </c>
      <c r="AR82" s="285" t="s">
        <v>300</v>
      </c>
      <c r="AS82" s="505" t="s">
        <v>666</v>
      </c>
      <c r="AY82" s="67" t="str">
        <f>AZ82&amp;BA82</f>
        <v>6x7 FEStaal (1770 N/m²)30</v>
      </c>
      <c r="AZ82" s="67" t="str">
        <f t="shared" si="6"/>
        <v>6x7 FEStaal (1770 N/m²)</v>
      </c>
      <c r="BA82" s="379">
        <v>30</v>
      </c>
      <c r="BB82" s="356" t="s">
        <v>412</v>
      </c>
      <c r="BC82" s="19"/>
      <c r="BO82" s="305"/>
      <c r="BP82" s="305"/>
      <c r="BQ82" s="305"/>
      <c r="BR82" s="305"/>
      <c r="BS82" s="305"/>
      <c r="BT82" s="305"/>
      <c r="BU82" s="305"/>
      <c r="BV82" s="305"/>
    </row>
    <row r="83" spans="21:74" x14ac:dyDescent="0.25">
      <c r="V83" s="305"/>
      <c r="AC83" s="373" t="str">
        <f t="shared" ref="AC83:AC88" si="13">AD83&amp;AE83</f>
        <v>7x7Staal (1770 N/m²)3</v>
      </c>
      <c r="AD83" s="374" t="str">
        <f>AD6&amp;AC4</f>
        <v>7x7Staal (1770 N/m²)</v>
      </c>
      <c r="AE83" s="63">
        <v>3</v>
      </c>
      <c r="AF83" s="375">
        <v>4.9540500000000005</v>
      </c>
      <c r="AG83" s="317"/>
      <c r="AI83" s="64" t="str">
        <f t="shared" si="12"/>
        <v>Staal52mm</v>
      </c>
      <c r="AJ83" t="s">
        <v>82</v>
      </c>
      <c r="AK83" s="19" t="s">
        <v>369</v>
      </c>
      <c r="AL83" s="587" t="s">
        <v>412</v>
      </c>
      <c r="AM83" s="65" t="str">
        <f t="shared" si="7"/>
        <v>Green Pin H45</v>
      </c>
      <c r="AN83" s="67" t="s">
        <v>632</v>
      </c>
      <c r="AO83" s="67">
        <f t="shared" si="9"/>
        <v>45</v>
      </c>
      <c r="AP83" s="336">
        <v>1471.5</v>
      </c>
      <c r="AR83" s="285" t="s">
        <v>299</v>
      </c>
      <c r="AS83" s="505" t="s">
        <v>666</v>
      </c>
      <c r="AY83" s="373" t="str">
        <f t="shared" ref="AY83:AY146" si="14">AZ83&amp;BA83</f>
        <v>7x7Staal (1770 N/m²)3</v>
      </c>
      <c r="AZ83" s="374" t="str">
        <f>AZ5&amp;AY4</f>
        <v>7x7Staal (1770 N/m²)</v>
      </c>
      <c r="BA83" s="63">
        <v>3</v>
      </c>
      <c r="BB83" s="375">
        <v>4.9540500000000005</v>
      </c>
      <c r="BC83" s="63"/>
    </row>
    <row r="84" spans="21:74" x14ac:dyDescent="0.25">
      <c r="V84" s="305"/>
      <c r="AC84" s="64" t="str">
        <f t="shared" si="13"/>
        <v>7x7Staal (1770 N/m²)4</v>
      </c>
      <c r="AD84" t="str">
        <f t="shared" ref="AD84:AD105" si="15">$AD$83</f>
        <v>7x7Staal (1770 N/m²)</v>
      </c>
      <c r="AE84" s="19">
        <v>4</v>
      </c>
      <c r="AF84" s="356">
        <v>8.8290000000000006</v>
      </c>
      <c r="AG84" s="317"/>
      <c r="AI84" s="64" t="str">
        <f t="shared" si="12"/>
        <v>Staal1/4"</v>
      </c>
      <c r="AJ84" t="s">
        <v>82</v>
      </c>
      <c r="AK84" s="309" t="s">
        <v>346</v>
      </c>
      <c r="AL84" s="587" t="s">
        <v>412</v>
      </c>
      <c r="AM84" s="62" t="str">
        <f t="shared" ref="AM84:AM107" si="16">AN84&amp;AO84</f>
        <v>Green Pin D10</v>
      </c>
      <c r="AN84" s="66" t="s">
        <v>331</v>
      </c>
      <c r="AO84" s="66">
        <f t="shared" ref="AO84:AO95" si="17">AO4</f>
        <v>10</v>
      </c>
      <c r="AP84" s="334">
        <v>41.201999999999998</v>
      </c>
      <c r="AR84" s="285" t="s">
        <v>301</v>
      </c>
      <c r="AS84" s="505" t="s">
        <v>666</v>
      </c>
      <c r="AY84" s="64" t="str">
        <f t="shared" si="14"/>
        <v>7x7Staal (1770 N/m²)4</v>
      </c>
      <c r="AZ84" t="str">
        <f t="shared" ref="AZ84:AZ105" si="18">$AD$83</f>
        <v>7x7Staal (1770 N/m²)</v>
      </c>
      <c r="BA84" s="19">
        <v>4</v>
      </c>
      <c r="BB84" s="356">
        <v>8.8290000000000006</v>
      </c>
      <c r="BC84" s="19"/>
    </row>
    <row r="85" spans="21:74" x14ac:dyDescent="0.25">
      <c r="V85" s="305"/>
      <c r="AC85" s="64" t="str">
        <f t="shared" si="13"/>
        <v>7x7Staal (1770 N/m²)5</v>
      </c>
      <c r="AD85" t="str">
        <f t="shared" si="15"/>
        <v>7x7Staal (1770 N/m²)</v>
      </c>
      <c r="AE85" s="19">
        <v>5</v>
      </c>
      <c r="AF85" s="356">
        <v>13.832100000000001</v>
      </c>
      <c r="AG85" s="317"/>
      <c r="AI85" s="64" t="str">
        <f t="shared" si="12"/>
        <v>Staal5/16"</v>
      </c>
      <c r="AJ85" t="s">
        <v>82</v>
      </c>
      <c r="AK85" s="309" t="s">
        <v>347</v>
      </c>
      <c r="AL85" s="587" t="s">
        <v>412</v>
      </c>
      <c r="AM85" s="64" t="str">
        <f t="shared" si="16"/>
        <v>Green Pin D11</v>
      </c>
      <c r="AN85" t="s">
        <v>331</v>
      </c>
      <c r="AO85">
        <f t="shared" si="17"/>
        <v>11</v>
      </c>
      <c r="AP85" s="335">
        <v>58.86</v>
      </c>
      <c r="AR85" s="285" t="s">
        <v>799</v>
      </c>
      <c r="AS85" s="505" t="s">
        <v>666</v>
      </c>
      <c r="AY85" s="64" t="str">
        <f t="shared" si="14"/>
        <v>7x7Staal (1770 N/m²)5</v>
      </c>
      <c r="AZ85" t="str">
        <f t="shared" si="18"/>
        <v>7x7Staal (1770 N/m²)</v>
      </c>
      <c r="BA85" s="19">
        <v>5</v>
      </c>
      <c r="BB85" s="356">
        <v>13.832100000000001</v>
      </c>
      <c r="BC85" s="19"/>
    </row>
    <row r="86" spans="21:74" x14ac:dyDescent="0.25">
      <c r="AC86" s="64" t="str">
        <f t="shared" si="13"/>
        <v>7x7Staal (1770 N/m²)6</v>
      </c>
      <c r="AD86" t="str">
        <f t="shared" si="15"/>
        <v>7x7Staal (1770 N/m²)</v>
      </c>
      <c r="AE86" s="19">
        <v>6</v>
      </c>
      <c r="AF86" s="356">
        <v>19.914300000000001</v>
      </c>
      <c r="AG86" s="317"/>
      <c r="AI86" s="64" t="str">
        <f t="shared" si="12"/>
        <v>Staal3/8"</v>
      </c>
      <c r="AJ86" t="s">
        <v>82</v>
      </c>
      <c r="AK86" s="310" t="s">
        <v>348</v>
      </c>
      <c r="AL86" s="587" t="s">
        <v>412</v>
      </c>
      <c r="AM86" s="64" t="str">
        <f t="shared" si="16"/>
        <v>Green Pin D13</v>
      </c>
      <c r="AN86" t="s">
        <v>331</v>
      </c>
      <c r="AO86">
        <f t="shared" si="17"/>
        <v>13</v>
      </c>
      <c r="AP86" s="335">
        <v>88.29</v>
      </c>
      <c r="AR86" s="285" t="s">
        <v>286</v>
      </c>
      <c r="AS86" s="505" t="s">
        <v>666</v>
      </c>
      <c r="AY86" s="64" t="str">
        <f t="shared" si="14"/>
        <v>7x7Staal (1770 N/m²)6</v>
      </c>
      <c r="AZ86" t="str">
        <f t="shared" si="18"/>
        <v>7x7Staal (1770 N/m²)</v>
      </c>
      <c r="BA86" s="19">
        <v>6</v>
      </c>
      <c r="BB86" s="356">
        <v>19.914300000000001</v>
      </c>
      <c r="BC86" s="19"/>
    </row>
    <row r="87" spans="21:74" x14ac:dyDescent="0.25">
      <c r="V87" s="305"/>
      <c r="AC87" s="64" t="str">
        <f t="shared" si="13"/>
        <v>7x7Staal (1770 N/m²)7</v>
      </c>
      <c r="AD87" t="str">
        <f t="shared" si="15"/>
        <v>7x7Staal (1770 N/m²)</v>
      </c>
      <c r="AE87" s="19">
        <v>7</v>
      </c>
      <c r="AF87" s="356" t="s">
        <v>412</v>
      </c>
      <c r="AG87" s="317"/>
      <c r="AI87" s="64" t="str">
        <f t="shared" si="12"/>
        <v>Staal7/16"</v>
      </c>
      <c r="AJ87" t="s">
        <v>82</v>
      </c>
      <c r="AK87" s="310" t="s">
        <v>349</v>
      </c>
      <c r="AL87" s="587" t="s">
        <v>412</v>
      </c>
      <c r="AM87" s="64" t="str">
        <f t="shared" si="16"/>
        <v>Green Pin D16</v>
      </c>
      <c r="AN87" t="s">
        <v>331</v>
      </c>
      <c r="AO87">
        <f t="shared" si="17"/>
        <v>16</v>
      </c>
      <c r="AP87" s="335">
        <v>117.72</v>
      </c>
      <c r="AR87" s="285" t="s">
        <v>302</v>
      </c>
      <c r="AS87" s="505" t="s">
        <v>412</v>
      </c>
      <c r="AY87" s="64" t="str">
        <f t="shared" si="14"/>
        <v>7x7Staal (1770 N/m²)7</v>
      </c>
      <c r="AZ87" t="str">
        <f t="shared" si="18"/>
        <v>7x7Staal (1770 N/m²)</v>
      </c>
      <c r="BA87" s="19">
        <v>7</v>
      </c>
      <c r="BB87" s="356" t="s">
        <v>412</v>
      </c>
      <c r="BC87" s="19"/>
    </row>
    <row r="88" spans="21:74" x14ac:dyDescent="0.25">
      <c r="AC88" s="64" t="str">
        <f t="shared" si="13"/>
        <v>7x7Staal (1770 N/m²)8</v>
      </c>
      <c r="AD88" t="str">
        <f t="shared" si="15"/>
        <v>7x7Staal (1770 N/m²)</v>
      </c>
      <c r="AE88" s="19">
        <v>8</v>
      </c>
      <c r="AF88" s="355">
        <v>35.316000000000003</v>
      </c>
      <c r="AG88" s="317"/>
      <c r="AI88" s="64" t="str">
        <f t="shared" si="12"/>
        <v>Staal1/2"</v>
      </c>
      <c r="AJ88" t="s">
        <v>82</v>
      </c>
      <c r="AK88" s="310" t="s">
        <v>350</v>
      </c>
      <c r="AL88" s="587" t="s">
        <v>412</v>
      </c>
      <c r="AM88" s="64" t="str">
        <f t="shared" si="16"/>
        <v>Green Pin D20</v>
      </c>
      <c r="AN88" t="s">
        <v>331</v>
      </c>
      <c r="AO88">
        <f t="shared" si="17"/>
        <v>20</v>
      </c>
      <c r="AP88" s="335">
        <v>191.29500000000002</v>
      </c>
      <c r="AR88" s="285" t="s">
        <v>634</v>
      </c>
      <c r="AS88" s="505" t="s">
        <v>412</v>
      </c>
      <c r="AY88" s="64" t="str">
        <f t="shared" si="14"/>
        <v>7x7Staal (1770 N/m²)8</v>
      </c>
      <c r="AZ88" t="str">
        <f t="shared" si="18"/>
        <v>7x7Staal (1770 N/m²)</v>
      </c>
      <c r="BA88" s="19">
        <v>8</v>
      </c>
      <c r="BB88" s="355">
        <v>35.316000000000003</v>
      </c>
      <c r="BC88" s="19"/>
    </row>
    <row r="89" spans="21:74" x14ac:dyDescent="0.25">
      <c r="U89" s="306" t="s">
        <v>412</v>
      </c>
      <c r="V89" s="305" t="s">
        <v>412</v>
      </c>
      <c r="AC89" s="64" t="str">
        <f t="shared" ref="AC89:AC100" si="19">AD89&amp;AE89</f>
        <v>7x7Staal (1770 N/m²)9</v>
      </c>
      <c r="AD89" t="str">
        <f t="shared" si="15"/>
        <v>7x7Staal (1770 N/m²)</v>
      </c>
      <c r="AE89" s="19">
        <v>9</v>
      </c>
      <c r="AF89" s="356" t="s">
        <v>412</v>
      </c>
      <c r="AG89" s="317"/>
      <c r="AI89" s="64" t="str">
        <f t="shared" si="12"/>
        <v>Staal5/8"</v>
      </c>
      <c r="AJ89" t="s">
        <v>82</v>
      </c>
      <c r="AK89" s="310" t="s">
        <v>351</v>
      </c>
      <c r="AL89" s="587" t="s">
        <v>412</v>
      </c>
      <c r="AM89" s="64" t="str">
        <f t="shared" si="16"/>
        <v>Green Pin D22</v>
      </c>
      <c r="AN89" t="s">
        <v>331</v>
      </c>
      <c r="AO89">
        <f t="shared" si="17"/>
        <v>22</v>
      </c>
      <c r="AP89" s="335">
        <v>279.58500000000004</v>
      </c>
      <c r="AR89" s="285" t="s">
        <v>303</v>
      </c>
      <c r="AS89" s="505" t="s">
        <v>412</v>
      </c>
      <c r="AY89" s="64" t="str">
        <f t="shared" si="14"/>
        <v>7x7Staal (1770 N/m²)9</v>
      </c>
      <c r="AZ89" t="str">
        <f t="shared" si="18"/>
        <v>7x7Staal (1770 N/m²)</v>
      </c>
      <c r="BA89" s="19">
        <v>9</v>
      </c>
      <c r="BB89" s="356" t="s">
        <v>412</v>
      </c>
      <c r="BC89" s="19"/>
    </row>
    <row r="90" spans="21:74" x14ac:dyDescent="0.25">
      <c r="AC90" s="64" t="str">
        <f t="shared" si="19"/>
        <v>7x7Staal (1770 N/m²)10</v>
      </c>
      <c r="AD90" t="str">
        <f t="shared" si="15"/>
        <v>7x7Staal (1770 N/m²)</v>
      </c>
      <c r="AE90" s="19">
        <v>10</v>
      </c>
      <c r="AF90" s="355">
        <v>90</v>
      </c>
      <c r="AG90" s="317"/>
      <c r="AI90" s="64" t="str">
        <f t="shared" si="12"/>
        <v>Staal3/4"</v>
      </c>
      <c r="AJ90" t="s">
        <v>82</v>
      </c>
      <c r="AK90" s="310" t="s">
        <v>352</v>
      </c>
      <c r="AL90" s="587" t="s">
        <v>412</v>
      </c>
      <c r="AM90" s="64" t="str">
        <f t="shared" si="16"/>
        <v>Green Pin D24</v>
      </c>
      <c r="AN90" t="s">
        <v>331</v>
      </c>
      <c r="AO90">
        <f t="shared" si="17"/>
        <v>24</v>
      </c>
      <c r="AP90" s="335">
        <v>382.59000000000003</v>
      </c>
      <c r="AR90" s="285" t="s">
        <v>304</v>
      </c>
      <c r="AS90" s="505" t="s">
        <v>412</v>
      </c>
      <c r="AY90" s="64" t="str">
        <f t="shared" si="14"/>
        <v>7x7Staal (1770 N/m²)10</v>
      </c>
      <c r="AZ90" t="str">
        <f t="shared" si="18"/>
        <v>7x7Staal (1770 N/m²)</v>
      </c>
      <c r="BA90" s="19">
        <v>10</v>
      </c>
      <c r="BB90" s="355">
        <v>90</v>
      </c>
      <c r="BC90" s="19"/>
    </row>
    <row r="91" spans="21:74" x14ac:dyDescent="0.25">
      <c r="AC91" s="64" t="str">
        <f t="shared" si="19"/>
        <v>7x7Staal (1770 N/m²)11</v>
      </c>
      <c r="AD91" t="str">
        <f t="shared" si="15"/>
        <v>7x7Staal (1770 N/m²)</v>
      </c>
      <c r="AE91" s="19">
        <v>11</v>
      </c>
      <c r="AF91" s="356" t="s">
        <v>412</v>
      </c>
      <c r="AG91" s="317"/>
      <c r="AI91" s="64" t="str">
        <f t="shared" si="12"/>
        <v>Staal7/8"</v>
      </c>
      <c r="AJ91" t="s">
        <v>82</v>
      </c>
      <c r="AK91" s="310" t="s">
        <v>353</v>
      </c>
      <c r="AL91" s="587" t="s">
        <v>412</v>
      </c>
      <c r="AM91" s="64" t="str">
        <f t="shared" si="16"/>
        <v>Green Pin D27</v>
      </c>
      <c r="AN91" t="s">
        <v>331</v>
      </c>
      <c r="AO91">
        <f t="shared" si="17"/>
        <v>27</v>
      </c>
      <c r="AP91" s="335">
        <v>500.31</v>
      </c>
      <c r="AR91" s="468" t="s">
        <v>412</v>
      </c>
      <c r="AS91" s="505" t="s">
        <v>412</v>
      </c>
      <c r="AY91" s="64" t="str">
        <f t="shared" si="14"/>
        <v>7x7Staal (1770 N/m²)11</v>
      </c>
      <c r="AZ91" t="str">
        <f t="shared" si="18"/>
        <v>7x7Staal (1770 N/m²)</v>
      </c>
      <c r="BA91" s="19">
        <v>11</v>
      </c>
      <c r="BB91" s="356" t="s">
        <v>412</v>
      </c>
      <c r="BC91" s="19"/>
    </row>
    <row r="92" spans="21:74" x14ac:dyDescent="0.25">
      <c r="AC92" s="64" t="str">
        <f t="shared" si="19"/>
        <v>7x7Staal (1770 N/m²)12</v>
      </c>
      <c r="AD92" t="str">
        <f t="shared" si="15"/>
        <v>7x7Staal (1770 N/m²)</v>
      </c>
      <c r="AE92" s="19">
        <v>12</v>
      </c>
      <c r="AF92" s="355" t="s">
        <v>412</v>
      </c>
      <c r="AG92" s="317"/>
      <c r="AI92" s="64" t="str">
        <f t="shared" si="12"/>
        <v>Staal1"</v>
      </c>
      <c r="AJ92" t="s">
        <v>82</v>
      </c>
      <c r="AK92" s="310" t="s">
        <v>354</v>
      </c>
      <c r="AL92" s="587" t="s">
        <v>412</v>
      </c>
      <c r="AM92" s="64" t="str">
        <f t="shared" si="16"/>
        <v>Green Pin D30</v>
      </c>
      <c r="AN92" t="s">
        <v>331</v>
      </c>
      <c r="AO92">
        <f t="shared" si="17"/>
        <v>30</v>
      </c>
      <c r="AP92" s="335">
        <v>559.17000000000007</v>
      </c>
      <c r="AY92" s="64" t="str">
        <f t="shared" si="14"/>
        <v>7x7Staal (1770 N/m²)12</v>
      </c>
      <c r="AZ92" t="str">
        <f t="shared" si="18"/>
        <v>7x7Staal (1770 N/m²)</v>
      </c>
      <c r="BA92" s="19">
        <v>12</v>
      </c>
      <c r="BB92" s="355" t="s">
        <v>412</v>
      </c>
      <c r="BC92" s="19"/>
    </row>
    <row r="93" spans="21:74" x14ac:dyDescent="0.25">
      <c r="AC93" s="64" t="str">
        <f t="shared" si="19"/>
        <v>7x7Staal (1770 N/m²)13</v>
      </c>
      <c r="AD93" t="str">
        <f t="shared" si="15"/>
        <v>7x7Staal (1770 N/m²)</v>
      </c>
      <c r="AE93" s="19">
        <v>13</v>
      </c>
      <c r="AF93" s="356" t="s">
        <v>412</v>
      </c>
      <c r="AG93" s="317"/>
      <c r="AI93" s="64" t="str">
        <f t="shared" si="12"/>
        <v>Staal1 1/8"</v>
      </c>
      <c r="AJ93" t="s">
        <v>82</v>
      </c>
      <c r="AK93" s="310" t="s">
        <v>355</v>
      </c>
      <c r="AL93" s="325">
        <v>105.94800000000001</v>
      </c>
      <c r="AM93" s="64" t="str">
        <f t="shared" si="16"/>
        <v>Green Pin D36</v>
      </c>
      <c r="AN93" t="s">
        <v>331</v>
      </c>
      <c r="AO93">
        <f t="shared" si="17"/>
        <v>36</v>
      </c>
      <c r="AP93" s="335">
        <v>706.32</v>
      </c>
      <c r="AY93" s="64" t="str">
        <f t="shared" si="14"/>
        <v>7x7Staal (1770 N/m²)13</v>
      </c>
      <c r="AZ93" t="str">
        <f t="shared" si="18"/>
        <v>7x7Staal (1770 N/m²)</v>
      </c>
      <c r="BA93" s="19">
        <v>13</v>
      </c>
      <c r="BB93" s="356" t="s">
        <v>412</v>
      </c>
      <c r="BC93" s="19"/>
    </row>
    <row r="94" spans="21:74" x14ac:dyDescent="0.25">
      <c r="AC94" s="64" t="str">
        <f t="shared" si="19"/>
        <v>7x7Staal (1770 N/m²)14</v>
      </c>
      <c r="AD94" t="str">
        <f t="shared" si="15"/>
        <v>7x7Staal (1770 N/m²)</v>
      </c>
      <c r="AE94" s="19">
        <v>14</v>
      </c>
      <c r="AF94" s="355" t="s">
        <v>412</v>
      </c>
      <c r="AG94" s="317"/>
      <c r="AI94" s="64" t="str">
        <f t="shared" si="12"/>
        <v>Staal1 1/4"</v>
      </c>
      <c r="AJ94" t="s">
        <v>82</v>
      </c>
      <c r="AK94" s="310" t="s">
        <v>356</v>
      </c>
      <c r="AL94" s="325">
        <f>48*5</f>
        <v>240</v>
      </c>
      <c r="AM94" s="64" t="str">
        <f t="shared" si="16"/>
        <v>Green Pin D38</v>
      </c>
      <c r="AN94" t="s">
        <v>331</v>
      </c>
      <c r="AO94">
        <f t="shared" si="17"/>
        <v>38</v>
      </c>
      <c r="AP94" s="335">
        <v>1000.62</v>
      </c>
      <c r="AY94" s="64" t="str">
        <f t="shared" si="14"/>
        <v>7x7Staal (1770 N/m²)14</v>
      </c>
      <c r="AZ94" t="str">
        <f t="shared" si="18"/>
        <v>7x7Staal (1770 N/m²)</v>
      </c>
      <c r="BA94" s="19">
        <v>14</v>
      </c>
      <c r="BB94" s="355" t="s">
        <v>412</v>
      </c>
      <c r="BC94" s="19"/>
    </row>
    <row r="95" spans="21:74" x14ac:dyDescent="0.25">
      <c r="AC95" s="64" t="str">
        <f t="shared" si="19"/>
        <v>7x7Staal (1770 N/m²)15</v>
      </c>
      <c r="AD95" t="str">
        <f t="shared" si="15"/>
        <v>7x7Staal (1770 N/m²)</v>
      </c>
      <c r="AE95" s="19">
        <v>15</v>
      </c>
      <c r="AF95" s="356" t="s">
        <v>412</v>
      </c>
      <c r="AG95" s="317"/>
      <c r="AI95" s="64" t="str">
        <f t="shared" si="12"/>
        <v>Staal1 1/2"</v>
      </c>
      <c r="AJ95" t="s">
        <v>82</v>
      </c>
      <c r="AK95" s="310" t="s">
        <v>357</v>
      </c>
      <c r="AL95" s="325">
        <f>60*5</f>
        <v>300</v>
      </c>
      <c r="AM95" s="65" t="str">
        <f t="shared" si="16"/>
        <v>Green Pin D45</v>
      </c>
      <c r="AN95" s="67" t="s">
        <v>331</v>
      </c>
      <c r="AO95" s="67">
        <f t="shared" si="17"/>
        <v>45</v>
      </c>
      <c r="AP95" s="336">
        <v>1471.5</v>
      </c>
      <c r="AY95" s="64" t="str">
        <f t="shared" si="14"/>
        <v>7x7Staal (1770 N/m²)15</v>
      </c>
      <c r="AZ95" t="str">
        <f t="shared" si="18"/>
        <v>7x7Staal (1770 N/m²)</v>
      </c>
      <c r="BA95" s="19">
        <v>15</v>
      </c>
      <c r="BB95" s="356" t="s">
        <v>412</v>
      </c>
      <c r="BC95" s="19"/>
    </row>
    <row r="96" spans="21:74" x14ac:dyDescent="0.25">
      <c r="AC96" s="64" t="str">
        <f t="shared" si="19"/>
        <v>7x7Staal (1770 N/m²)16</v>
      </c>
      <c r="AD96" t="str">
        <f t="shared" si="15"/>
        <v>7x7Staal (1770 N/m²)</v>
      </c>
      <c r="AE96" s="19">
        <v>16</v>
      </c>
      <c r="AF96" s="355" t="s">
        <v>412</v>
      </c>
      <c r="AG96" s="317"/>
      <c r="AI96" s="64" t="str">
        <f t="shared" si="12"/>
        <v>Staal1 3/4"</v>
      </c>
      <c r="AJ96" t="s">
        <v>82</v>
      </c>
      <c r="AK96" s="310" t="s">
        <v>358</v>
      </c>
      <c r="AL96" s="331">
        <f>8500/100*5</f>
        <v>425</v>
      </c>
      <c r="AM96" s="62" t="str">
        <f t="shared" si="16"/>
        <v>Black Pin H10</v>
      </c>
      <c r="AN96" s="66" t="s">
        <v>411</v>
      </c>
      <c r="AO96" s="66">
        <f t="shared" ref="AO96:AO107" si="20">AO4</f>
        <v>10</v>
      </c>
      <c r="AP96" s="334">
        <v>41.201999999999998</v>
      </c>
      <c r="AY96" s="64" t="str">
        <f t="shared" si="14"/>
        <v>7x7Staal (1770 N/m²)16</v>
      </c>
      <c r="AZ96" t="str">
        <f t="shared" si="18"/>
        <v>7x7Staal (1770 N/m²)</v>
      </c>
      <c r="BA96" s="19">
        <v>16</v>
      </c>
      <c r="BB96" s="355" t="s">
        <v>412</v>
      </c>
      <c r="BC96" s="19"/>
    </row>
    <row r="97" spans="29:55" x14ac:dyDescent="0.25">
      <c r="AC97" s="64" t="str">
        <f t="shared" si="19"/>
        <v>7x7Staal (1770 N/m²)17</v>
      </c>
      <c r="AD97" t="str">
        <f t="shared" si="15"/>
        <v>7x7Staal (1770 N/m²)</v>
      </c>
      <c r="AE97" s="19">
        <v>17</v>
      </c>
      <c r="AF97" s="356" t="s">
        <v>412</v>
      </c>
      <c r="AG97" s="317"/>
      <c r="AI97" s="64" t="str">
        <f t="shared" si="12"/>
        <v>Staal2"</v>
      </c>
      <c r="AJ97" t="s">
        <v>82</v>
      </c>
      <c r="AK97" s="310" t="s">
        <v>359</v>
      </c>
      <c r="AL97" s="331">
        <f>11000/100*5</f>
        <v>550</v>
      </c>
      <c r="AM97" s="64" t="str">
        <f t="shared" si="16"/>
        <v>Black Pin H11</v>
      </c>
      <c r="AN97" t="s">
        <v>411</v>
      </c>
      <c r="AO97">
        <f t="shared" si="20"/>
        <v>11</v>
      </c>
      <c r="AP97" s="335">
        <v>58.86</v>
      </c>
      <c r="AY97" s="64" t="str">
        <f t="shared" si="14"/>
        <v>7x7Staal (1770 N/m²)17</v>
      </c>
      <c r="AZ97" t="str">
        <f t="shared" si="18"/>
        <v>7x7Staal (1770 N/m²)</v>
      </c>
      <c r="BA97" s="19">
        <v>17</v>
      </c>
      <c r="BB97" s="356" t="s">
        <v>412</v>
      </c>
      <c r="BC97" s="19"/>
    </row>
    <row r="98" spans="29:55" x14ac:dyDescent="0.25">
      <c r="AC98" s="64" t="str">
        <f t="shared" si="19"/>
        <v>7x7Staal (1770 N/m²)18</v>
      </c>
      <c r="AD98" t="str">
        <f t="shared" si="15"/>
        <v>7x7Staal (1770 N/m²)</v>
      </c>
      <c r="AE98" s="19">
        <v>18</v>
      </c>
      <c r="AF98" s="355" t="s">
        <v>412</v>
      </c>
      <c r="AG98" s="317"/>
      <c r="AI98" s="62" t="str">
        <f t="shared" si="12"/>
        <v>RVS8mm</v>
      </c>
      <c r="AJ98" s="66" t="s">
        <v>111</v>
      </c>
      <c r="AK98" s="63" t="s">
        <v>607</v>
      </c>
      <c r="AL98" s="332">
        <v>16.677</v>
      </c>
      <c r="AM98" s="64" t="str">
        <f t="shared" si="16"/>
        <v>Black Pin H13</v>
      </c>
      <c r="AN98" t="s">
        <v>411</v>
      </c>
      <c r="AO98">
        <f t="shared" si="20"/>
        <v>13</v>
      </c>
      <c r="AP98" s="335">
        <v>88.29</v>
      </c>
      <c r="AR98" s="285"/>
      <c r="AS98" s="505"/>
      <c r="AY98" s="64" t="str">
        <f t="shared" si="14"/>
        <v>7x7Staal (1770 N/m²)18</v>
      </c>
      <c r="AZ98" t="str">
        <f t="shared" si="18"/>
        <v>7x7Staal (1770 N/m²)</v>
      </c>
      <c r="BA98" s="19">
        <v>18</v>
      </c>
      <c r="BB98" s="355" t="s">
        <v>412</v>
      </c>
      <c r="BC98" s="19"/>
    </row>
    <row r="99" spans="29:55" x14ac:dyDescent="0.25">
      <c r="AC99" s="64" t="str">
        <f t="shared" si="19"/>
        <v>7x7Staal (1770 N/m²)19</v>
      </c>
      <c r="AD99" t="str">
        <f t="shared" si="15"/>
        <v>7x7Staal (1770 N/m²)</v>
      </c>
      <c r="AE99" s="19">
        <v>19</v>
      </c>
      <c r="AF99" s="356" t="s">
        <v>412</v>
      </c>
      <c r="AG99" s="317"/>
      <c r="AI99" s="64" t="str">
        <f t="shared" si="12"/>
        <v>RVS10mm</v>
      </c>
      <c r="AJ99" t="s">
        <v>111</v>
      </c>
      <c r="AK99" s="19" t="s">
        <v>606</v>
      </c>
      <c r="AL99" s="331">
        <v>34.335000000000001</v>
      </c>
      <c r="AM99" s="64" t="str">
        <f t="shared" si="16"/>
        <v>Black Pin H16</v>
      </c>
      <c r="AN99" t="s">
        <v>411</v>
      </c>
      <c r="AO99">
        <f t="shared" si="20"/>
        <v>16</v>
      </c>
      <c r="AP99" s="335">
        <v>117.72</v>
      </c>
      <c r="AR99" s="285"/>
      <c r="AS99" s="505"/>
      <c r="AY99" s="64" t="str">
        <f t="shared" si="14"/>
        <v>7x7Staal (1770 N/m²)19</v>
      </c>
      <c r="AZ99" t="str">
        <f t="shared" si="18"/>
        <v>7x7Staal (1770 N/m²)</v>
      </c>
      <c r="BA99" s="19">
        <v>19</v>
      </c>
      <c r="BB99" s="356" t="s">
        <v>412</v>
      </c>
      <c r="BC99" s="19"/>
    </row>
    <row r="100" spans="29:55" x14ac:dyDescent="0.25">
      <c r="AC100" s="64" t="str">
        <f t="shared" si="19"/>
        <v>7x7Staal (1770 N/m²)20</v>
      </c>
      <c r="AD100" t="str">
        <f t="shared" si="15"/>
        <v>7x7Staal (1770 N/m²)</v>
      </c>
      <c r="AE100" s="19">
        <v>20</v>
      </c>
      <c r="AF100" s="355" t="s">
        <v>412</v>
      </c>
      <c r="AG100" s="317"/>
      <c r="AI100" s="64" t="str">
        <f t="shared" si="12"/>
        <v>RVS12mm</v>
      </c>
      <c r="AJ100" t="s">
        <v>111</v>
      </c>
      <c r="AK100" s="19" t="s">
        <v>605</v>
      </c>
      <c r="AL100" s="331">
        <v>50.030999999999999</v>
      </c>
      <c r="AM100" s="64" t="str">
        <f t="shared" si="16"/>
        <v>Black Pin H20</v>
      </c>
      <c r="AN100" t="s">
        <v>411</v>
      </c>
      <c r="AO100">
        <f t="shared" si="20"/>
        <v>20</v>
      </c>
      <c r="AP100" s="335">
        <v>191.29500000000002</v>
      </c>
      <c r="AR100" s="285"/>
      <c r="AS100" s="505"/>
      <c r="AY100" s="64" t="str">
        <f t="shared" si="14"/>
        <v>7x7Staal (1770 N/m²)20</v>
      </c>
      <c r="AZ100" t="str">
        <f t="shared" si="18"/>
        <v>7x7Staal (1770 N/m²)</v>
      </c>
      <c r="BA100" s="19">
        <v>20</v>
      </c>
      <c r="BB100" s="355" t="s">
        <v>412</v>
      </c>
      <c r="BC100" s="19"/>
    </row>
    <row r="101" spans="29:55" x14ac:dyDescent="0.25">
      <c r="AC101" s="64" t="str">
        <f t="shared" ref="AC101:AC110" si="21">AD101&amp;AE101</f>
        <v>7x7Staal (1770 N/m²)22</v>
      </c>
      <c r="AD101" t="str">
        <f t="shared" si="15"/>
        <v>7x7Staal (1770 N/m²)</v>
      </c>
      <c r="AE101" s="19">
        <v>22</v>
      </c>
      <c r="AF101" s="356" t="s">
        <v>412</v>
      </c>
      <c r="AI101" s="64" t="str">
        <f t="shared" si="12"/>
        <v>RVS14mm</v>
      </c>
      <c r="AJ101" t="s">
        <v>111</v>
      </c>
      <c r="AK101" s="19" t="s">
        <v>604</v>
      </c>
      <c r="AL101" s="331">
        <v>57.879000000000005</v>
      </c>
      <c r="AM101" s="64" t="str">
        <f t="shared" si="16"/>
        <v>Black Pin H22</v>
      </c>
      <c r="AN101" t="s">
        <v>411</v>
      </c>
      <c r="AO101">
        <f t="shared" si="20"/>
        <v>22</v>
      </c>
      <c r="AP101" s="335">
        <v>279.58500000000004</v>
      </c>
      <c r="AR101" s="285"/>
      <c r="AS101" s="505"/>
      <c r="AY101" s="64" t="str">
        <f t="shared" si="14"/>
        <v>7x7Staal (1770 N/m²)22</v>
      </c>
      <c r="AZ101" t="str">
        <f t="shared" si="18"/>
        <v>7x7Staal (1770 N/m²)</v>
      </c>
      <c r="BA101" s="19">
        <v>22</v>
      </c>
      <c r="BB101" s="356" t="s">
        <v>412</v>
      </c>
      <c r="BC101" s="19"/>
    </row>
    <row r="102" spans="29:55" x14ac:dyDescent="0.25">
      <c r="AC102" s="64" t="str">
        <f t="shared" si="21"/>
        <v>7x7Staal (1770 N/m²)24</v>
      </c>
      <c r="AD102" t="str">
        <f t="shared" si="15"/>
        <v>7x7Staal (1770 N/m²)</v>
      </c>
      <c r="AE102" s="19">
        <v>24</v>
      </c>
      <c r="AF102" s="356" t="s">
        <v>412</v>
      </c>
      <c r="AI102" s="64" t="str">
        <f t="shared" si="12"/>
        <v>RVS16mm</v>
      </c>
      <c r="AJ102" t="s">
        <v>111</v>
      </c>
      <c r="AK102" s="19" t="s">
        <v>603</v>
      </c>
      <c r="AL102" s="331">
        <v>78.48</v>
      </c>
      <c r="AM102" s="64" t="str">
        <f t="shared" si="16"/>
        <v>Black Pin H24</v>
      </c>
      <c r="AN102" t="s">
        <v>411</v>
      </c>
      <c r="AO102">
        <f t="shared" si="20"/>
        <v>24</v>
      </c>
      <c r="AP102" s="335">
        <v>382.59000000000003</v>
      </c>
      <c r="AR102" s="285"/>
      <c r="AS102" s="505"/>
      <c r="AY102" s="64" t="str">
        <f t="shared" si="14"/>
        <v>7x7Staal (1770 N/m²)24</v>
      </c>
      <c r="AZ102" t="str">
        <f t="shared" si="18"/>
        <v>7x7Staal (1770 N/m²)</v>
      </c>
      <c r="BA102" s="19">
        <v>24</v>
      </c>
      <c r="BB102" s="356" t="s">
        <v>412</v>
      </c>
      <c r="BC102" s="19"/>
    </row>
    <row r="103" spans="29:55" x14ac:dyDescent="0.25">
      <c r="AC103" s="64" t="str">
        <f t="shared" si="21"/>
        <v>7x7Staal (1770 N/m²)26</v>
      </c>
      <c r="AD103" t="str">
        <f t="shared" si="15"/>
        <v>7x7Staal (1770 N/m²)</v>
      </c>
      <c r="AE103" s="19">
        <v>26</v>
      </c>
      <c r="AF103" s="356" t="s">
        <v>412</v>
      </c>
      <c r="AI103" s="64" t="str">
        <f t="shared" si="12"/>
        <v>RVS18mm</v>
      </c>
      <c r="AJ103" t="s">
        <v>111</v>
      </c>
      <c r="AK103" s="19" t="s">
        <v>360</v>
      </c>
      <c r="AL103" s="316" t="s">
        <v>412</v>
      </c>
      <c r="AM103" s="64" t="str">
        <f t="shared" si="16"/>
        <v>Black Pin H27</v>
      </c>
      <c r="AN103" t="s">
        <v>411</v>
      </c>
      <c r="AO103">
        <f t="shared" si="20"/>
        <v>27</v>
      </c>
      <c r="AP103" s="335">
        <v>500.31</v>
      </c>
      <c r="AR103" s="285"/>
      <c r="AS103" s="505"/>
      <c r="AY103" s="64" t="str">
        <f t="shared" si="14"/>
        <v>7x7Staal (1770 N/m²)26</v>
      </c>
      <c r="AZ103" t="str">
        <f t="shared" si="18"/>
        <v>7x7Staal (1770 N/m²)</v>
      </c>
      <c r="BA103" s="19">
        <v>26</v>
      </c>
      <c r="BB103" s="356" t="s">
        <v>412</v>
      </c>
      <c r="BC103" s="19"/>
    </row>
    <row r="104" spans="29:55" x14ac:dyDescent="0.25">
      <c r="AC104" s="64" t="str">
        <f t="shared" si="21"/>
        <v>7x7Staal (1770 N/m²)28</v>
      </c>
      <c r="AD104" t="str">
        <f t="shared" si="15"/>
        <v>7x7Staal (1770 N/m²)</v>
      </c>
      <c r="AE104" s="19">
        <v>28</v>
      </c>
      <c r="AF104" s="356" t="s">
        <v>412</v>
      </c>
      <c r="AG104"/>
      <c r="AI104" s="64" t="str">
        <f t="shared" si="12"/>
        <v>RVS19mm</v>
      </c>
      <c r="AJ104" t="s">
        <v>111</v>
      </c>
      <c r="AK104" s="19" t="s">
        <v>624</v>
      </c>
      <c r="AL104" s="316" t="s">
        <v>412</v>
      </c>
      <c r="AM104" s="64" t="str">
        <f t="shared" si="16"/>
        <v>Black Pin H30</v>
      </c>
      <c r="AN104" t="s">
        <v>411</v>
      </c>
      <c r="AO104">
        <f t="shared" si="20"/>
        <v>30</v>
      </c>
      <c r="AP104" s="335">
        <v>559.17000000000007</v>
      </c>
      <c r="AR104" s="285"/>
      <c r="AS104" s="505"/>
      <c r="AY104" s="64" t="str">
        <f t="shared" si="14"/>
        <v>7x7Staal (1770 N/m²)28</v>
      </c>
      <c r="AZ104" t="str">
        <f t="shared" si="18"/>
        <v>7x7Staal (1770 N/m²)</v>
      </c>
      <c r="BA104" s="19">
        <v>28</v>
      </c>
      <c r="BB104" s="356" t="s">
        <v>412</v>
      </c>
      <c r="BC104" s="19"/>
    </row>
    <row r="105" spans="29:55" x14ac:dyDescent="0.25">
      <c r="AC105" s="65" t="str">
        <f t="shared" si="21"/>
        <v>7x7Staal (1770 N/m²)30</v>
      </c>
      <c r="AD105" s="67" t="str">
        <f t="shared" si="15"/>
        <v>7x7Staal (1770 N/m²)</v>
      </c>
      <c r="AE105" s="379">
        <v>30</v>
      </c>
      <c r="AF105" s="356" t="s">
        <v>412</v>
      </c>
      <c r="AI105" s="64" t="str">
        <f t="shared" si="12"/>
        <v>RVS20mm</v>
      </c>
      <c r="AJ105" t="s">
        <v>111</v>
      </c>
      <c r="AK105" s="19" t="s">
        <v>623</v>
      </c>
      <c r="AL105" s="331">
        <v>196.20000000000002</v>
      </c>
      <c r="AM105" s="64" t="str">
        <f t="shared" si="16"/>
        <v>Black Pin H36</v>
      </c>
      <c r="AN105" t="s">
        <v>411</v>
      </c>
      <c r="AO105">
        <f t="shared" si="20"/>
        <v>36</v>
      </c>
      <c r="AP105" s="335">
        <v>706.32</v>
      </c>
      <c r="AR105" s="285"/>
      <c r="AS105" s="505"/>
      <c r="AY105" s="65" t="str">
        <f t="shared" si="14"/>
        <v>7x7Staal (1770 N/m²)30</v>
      </c>
      <c r="AZ105" s="67" t="str">
        <f t="shared" si="18"/>
        <v>7x7Staal (1770 N/m²)</v>
      </c>
      <c r="BA105" s="379">
        <v>30</v>
      </c>
      <c r="BB105" s="356" t="s">
        <v>412</v>
      </c>
      <c r="BC105" s="19"/>
    </row>
    <row r="106" spans="29:55" x14ac:dyDescent="0.25">
      <c r="AC106" s="373" t="str">
        <f t="shared" si="21"/>
        <v>6x36 FEStaal (1770 N/m²)3</v>
      </c>
      <c r="AD106" s="374" t="str">
        <f>AD7&amp;AC4</f>
        <v>6x36 FEStaal (1770 N/m²)</v>
      </c>
      <c r="AE106" s="63">
        <v>3</v>
      </c>
      <c r="AF106" s="375" t="s">
        <v>412</v>
      </c>
      <c r="AI106" s="64" t="str">
        <f t="shared" si="12"/>
        <v>RVS22mm</v>
      </c>
      <c r="AJ106" t="s">
        <v>111</v>
      </c>
      <c r="AK106" s="19" t="s">
        <v>361</v>
      </c>
      <c r="AL106" s="316" t="s">
        <v>412</v>
      </c>
      <c r="AM106" s="64" t="str">
        <f t="shared" si="16"/>
        <v>Black Pin H38</v>
      </c>
      <c r="AN106" t="s">
        <v>411</v>
      </c>
      <c r="AO106">
        <f t="shared" si="20"/>
        <v>38</v>
      </c>
      <c r="AP106" s="335">
        <v>1000.62</v>
      </c>
      <c r="AR106" s="285"/>
      <c r="AS106" s="505"/>
      <c r="AY106" s="373" t="str">
        <f t="shared" si="14"/>
        <v>6x36 FEStaal (1770 N/m²)3</v>
      </c>
      <c r="AZ106" s="374" t="str">
        <f>AZ6&amp;AY4</f>
        <v>6x36 FEStaal (1770 N/m²)</v>
      </c>
      <c r="BA106" s="63">
        <v>3</v>
      </c>
      <c r="BB106" s="375" t="s">
        <v>412</v>
      </c>
      <c r="BC106" s="63"/>
    </row>
    <row r="107" spans="29:55" x14ac:dyDescent="0.25">
      <c r="AC107" s="64" t="str">
        <f t="shared" si="21"/>
        <v>6x36 FEStaal (1770 N/m²)4</v>
      </c>
      <c r="AD107" t="str">
        <f t="shared" ref="AD107:AD128" si="22">$AD$106</f>
        <v>6x36 FEStaal (1770 N/m²)</v>
      </c>
      <c r="AE107" s="19">
        <v>4</v>
      </c>
      <c r="AF107" s="356" t="s">
        <v>412</v>
      </c>
      <c r="AI107" s="64" t="str">
        <f t="shared" si="12"/>
        <v>RVS24mm</v>
      </c>
      <c r="AJ107" t="s">
        <v>111</v>
      </c>
      <c r="AK107" s="19" t="s">
        <v>362</v>
      </c>
      <c r="AL107" s="316" t="s">
        <v>412</v>
      </c>
      <c r="AM107" s="65" t="str">
        <f t="shared" si="16"/>
        <v>Black Pin H45</v>
      </c>
      <c r="AN107" s="67" t="s">
        <v>411</v>
      </c>
      <c r="AO107" s="67">
        <f t="shared" si="20"/>
        <v>45</v>
      </c>
      <c r="AP107" s="336">
        <v>1471.5</v>
      </c>
      <c r="AR107" s="285"/>
      <c r="AS107" s="505"/>
      <c r="AY107" s="64" t="str">
        <f t="shared" si="14"/>
        <v>6x36 FEStaal (1770 N/m²)4</v>
      </c>
      <c r="AZ107" t="str">
        <f t="shared" ref="AZ107:AZ128" si="23">$AD$106</f>
        <v>6x36 FEStaal (1770 N/m²)</v>
      </c>
      <c r="BA107" s="19">
        <v>4</v>
      </c>
      <c r="BB107" s="356" t="s">
        <v>412</v>
      </c>
      <c r="BC107" s="19"/>
    </row>
    <row r="108" spans="29:55" x14ac:dyDescent="0.25">
      <c r="AC108" s="64" t="str">
        <f t="shared" si="21"/>
        <v>6x36 FEStaal (1770 N/m²)5</v>
      </c>
      <c r="AD108" t="str">
        <f t="shared" si="22"/>
        <v>6x36 FEStaal (1770 N/m²)</v>
      </c>
      <c r="AE108" s="19">
        <v>5</v>
      </c>
      <c r="AF108" s="356" t="s">
        <v>412</v>
      </c>
      <c r="AI108" s="64" t="str">
        <f t="shared" ref="AI108:AI112" si="24">+AJ108&amp;AK108</f>
        <v>RVS26mm</v>
      </c>
      <c r="AJ108" t="s">
        <v>111</v>
      </c>
      <c r="AK108" s="19" t="s">
        <v>629</v>
      </c>
      <c r="AL108" s="316" t="s">
        <v>412</v>
      </c>
      <c r="AM108" s="62" t="str">
        <f t="shared" ref="AM108:AM120" si="25">AN108&amp;AO108</f>
        <v>Black Pin D10</v>
      </c>
      <c r="AN108" s="66" t="s">
        <v>332</v>
      </c>
      <c r="AO108" s="66">
        <f t="shared" ref="AO108:AO119" si="26">AO4</f>
        <v>10</v>
      </c>
      <c r="AP108" s="334">
        <v>41.201999999999998</v>
      </c>
      <c r="AR108" s="285"/>
      <c r="AS108" s="505"/>
      <c r="AY108" s="64" t="str">
        <f t="shared" si="14"/>
        <v>6x36 FEStaal (1770 N/m²)5</v>
      </c>
      <c r="AZ108" t="str">
        <f t="shared" si="23"/>
        <v>6x36 FEStaal (1770 N/m²)</v>
      </c>
      <c r="BA108" s="19">
        <v>5</v>
      </c>
      <c r="BB108" s="356" t="s">
        <v>412</v>
      </c>
      <c r="BC108" s="19"/>
    </row>
    <row r="109" spans="29:55" ht="15.75" thickBot="1" x14ac:dyDescent="0.3">
      <c r="AC109" s="64" t="str">
        <f t="shared" si="21"/>
        <v>6x36 FEStaal (1770 N/m²)6</v>
      </c>
      <c r="AD109" t="str">
        <f t="shared" si="22"/>
        <v>6x36 FEStaal (1770 N/m²)</v>
      </c>
      <c r="AE109" s="19">
        <v>6</v>
      </c>
      <c r="AF109" s="356" t="s">
        <v>412</v>
      </c>
      <c r="AI109" s="64" t="str">
        <f t="shared" si="24"/>
        <v>RVS28mm</v>
      </c>
      <c r="AJ109" t="s">
        <v>111</v>
      </c>
      <c r="AK109" s="19" t="s">
        <v>363</v>
      </c>
      <c r="AL109" s="316" t="s">
        <v>412</v>
      </c>
      <c r="AM109" s="64" t="str">
        <f t="shared" si="25"/>
        <v>Black Pin D11</v>
      </c>
      <c r="AN109" t="s">
        <v>332</v>
      </c>
      <c r="AO109">
        <f t="shared" si="26"/>
        <v>11</v>
      </c>
      <c r="AP109" s="335">
        <v>58.86</v>
      </c>
      <c r="AR109" s="489"/>
      <c r="AS109" s="506"/>
      <c r="AY109" s="64" t="str">
        <f t="shared" si="14"/>
        <v>6x36 FEStaal (1770 N/m²)6</v>
      </c>
      <c r="AZ109" t="str">
        <f t="shared" si="23"/>
        <v>6x36 FEStaal (1770 N/m²)</v>
      </c>
      <c r="BA109" s="19">
        <v>6</v>
      </c>
      <c r="BB109" s="356" t="s">
        <v>412</v>
      </c>
      <c r="BC109" s="19"/>
    </row>
    <row r="110" spans="29:55" x14ac:dyDescent="0.25">
      <c r="AC110" s="64" t="str">
        <f t="shared" si="21"/>
        <v>6x36 FEStaal (1770 N/m²)7</v>
      </c>
      <c r="AD110" t="str">
        <f t="shared" si="22"/>
        <v>6x36 FEStaal (1770 N/m²)</v>
      </c>
      <c r="AE110" s="19">
        <v>7</v>
      </c>
      <c r="AF110" s="356" t="s">
        <v>412</v>
      </c>
      <c r="AI110" s="64" t="str">
        <f t="shared" si="24"/>
        <v>RVS30mm</v>
      </c>
      <c r="AJ110" t="s">
        <v>111</v>
      </c>
      <c r="AK110" s="19" t="s">
        <v>364</v>
      </c>
      <c r="AL110" s="316" t="s">
        <v>412</v>
      </c>
      <c r="AM110" s="64" t="str">
        <f t="shared" si="25"/>
        <v>Black Pin D13</v>
      </c>
      <c r="AN110" t="s">
        <v>332</v>
      </c>
      <c r="AO110">
        <f t="shared" si="26"/>
        <v>13</v>
      </c>
      <c r="AP110" s="335">
        <v>88.29</v>
      </c>
      <c r="AS110" s="324"/>
      <c r="AY110" s="64" t="str">
        <f t="shared" si="14"/>
        <v>6x36 FEStaal (1770 N/m²)7</v>
      </c>
      <c r="AZ110" t="str">
        <f t="shared" si="23"/>
        <v>6x36 FEStaal (1770 N/m²)</v>
      </c>
      <c r="BA110" s="19">
        <v>7</v>
      </c>
      <c r="BB110" s="356" t="s">
        <v>412</v>
      </c>
      <c r="BC110" s="19"/>
    </row>
    <row r="111" spans="29:55" x14ac:dyDescent="0.25">
      <c r="AC111" s="64" t="str">
        <f t="shared" ref="AC111:AC123" si="27">AD111&amp;AE111</f>
        <v>6x36 FEStaal (1770 N/m²)8</v>
      </c>
      <c r="AD111" t="str">
        <f t="shared" si="22"/>
        <v>6x36 FEStaal (1770 N/m²)</v>
      </c>
      <c r="AE111" s="19">
        <v>8</v>
      </c>
      <c r="AF111" s="355">
        <v>37.376100000000001</v>
      </c>
      <c r="AI111" s="64" t="str">
        <f t="shared" si="24"/>
        <v>RVS32mm</v>
      </c>
      <c r="AJ111" t="s">
        <v>111</v>
      </c>
      <c r="AK111" s="19" t="s">
        <v>365</v>
      </c>
      <c r="AL111" s="316" t="s">
        <v>412</v>
      </c>
      <c r="AM111" s="64" t="str">
        <f t="shared" si="25"/>
        <v>Black Pin D16</v>
      </c>
      <c r="AN111" t="s">
        <v>332</v>
      </c>
      <c r="AO111">
        <f t="shared" si="26"/>
        <v>16</v>
      </c>
      <c r="AP111" s="335">
        <v>117.72</v>
      </c>
      <c r="AS111" s="324"/>
      <c r="AY111" s="64" t="str">
        <f t="shared" si="14"/>
        <v>6x36 FEStaal (1770 N/m²)8</v>
      </c>
      <c r="AZ111" t="str">
        <f t="shared" si="23"/>
        <v>6x36 FEStaal (1770 N/m²)</v>
      </c>
      <c r="BA111" s="19">
        <v>8</v>
      </c>
      <c r="BB111" s="355">
        <v>37.376100000000001</v>
      </c>
      <c r="BC111" s="19"/>
    </row>
    <row r="112" spans="29:55" x14ac:dyDescent="0.25">
      <c r="AC112" s="64" t="str">
        <f t="shared" si="27"/>
        <v>6x36 FEStaal (1770 N/m²)9</v>
      </c>
      <c r="AD112" t="str">
        <f t="shared" si="22"/>
        <v>6x36 FEStaal (1770 N/m²)</v>
      </c>
      <c r="AE112" s="19">
        <v>9</v>
      </c>
      <c r="AF112" s="356">
        <v>47.284200000000006</v>
      </c>
      <c r="AI112" s="64" t="str">
        <f t="shared" si="24"/>
        <v>RVS36mm</v>
      </c>
      <c r="AJ112" t="s">
        <v>111</v>
      </c>
      <c r="AK112" s="19" t="s">
        <v>366</v>
      </c>
      <c r="AL112" s="316" t="s">
        <v>412</v>
      </c>
      <c r="AM112" s="64" t="str">
        <f t="shared" si="25"/>
        <v>Black Pin D20</v>
      </c>
      <c r="AN112" t="s">
        <v>332</v>
      </c>
      <c r="AO112">
        <f t="shared" si="26"/>
        <v>20</v>
      </c>
      <c r="AP112" s="335">
        <v>191.29500000000002</v>
      </c>
      <c r="AS112" s="324"/>
      <c r="AY112" s="64" t="str">
        <f t="shared" si="14"/>
        <v>6x36 FEStaal (1770 N/m²)9</v>
      </c>
      <c r="AZ112" t="str">
        <f t="shared" si="23"/>
        <v>6x36 FEStaal (1770 N/m²)</v>
      </c>
      <c r="BA112" s="19">
        <v>9</v>
      </c>
      <c r="BB112" s="356">
        <v>47.284200000000006</v>
      </c>
      <c r="BC112" s="19"/>
    </row>
    <row r="113" spans="29:55" x14ac:dyDescent="0.25">
      <c r="AC113" s="64" t="str">
        <f t="shared" si="27"/>
        <v>6x36 FEStaal (1770 N/m²)10</v>
      </c>
      <c r="AD113" t="str">
        <f t="shared" si="22"/>
        <v>6x36 FEStaal (1770 N/m²)</v>
      </c>
      <c r="AE113" s="19">
        <v>10</v>
      </c>
      <c r="AF113" s="355">
        <v>58.467600000000004</v>
      </c>
      <c r="AI113" s="64" t="str">
        <f t="shared" ref="AI113" si="28">+AJ113&amp;AK113</f>
        <v>RVS38mm</v>
      </c>
      <c r="AJ113" t="s">
        <v>111</v>
      </c>
      <c r="AK113" s="19" t="s">
        <v>885</v>
      </c>
      <c r="AL113" s="316" t="s">
        <v>412</v>
      </c>
      <c r="AM113" s="64" t="str">
        <f t="shared" si="25"/>
        <v>Black Pin D22</v>
      </c>
      <c r="AN113" t="s">
        <v>332</v>
      </c>
      <c r="AO113">
        <f t="shared" si="26"/>
        <v>22</v>
      </c>
      <c r="AP113" s="335">
        <v>279.58500000000004</v>
      </c>
      <c r="AS113" s="324"/>
      <c r="AY113" s="64" t="str">
        <f t="shared" si="14"/>
        <v>6x36 FEStaal (1770 N/m²)10</v>
      </c>
      <c r="AZ113" t="str">
        <f t="shared" si="23"/>
        <v>6x36 FEStaal (1770 N/m²)</v>
      </c>
      <c r="BA113" s="19">
        <v>10</v>
      </c>
      <c r="BB113" s="355">
        <v>58.467600000000004</v>
      </c>
      <c r="BC113" s="19"/>
    </row>
    <row r="114" spans="29:55" x14ac:dyDescent="0.25">
      <c r="AC114" s="64" t="str">
        <f t="shared" si="27"/>
        <v>6x36 FEStaal (1770 N/m²)11</v>
      </c>
      <c r="AD114" t="str">
        <f t="shared" si="22"/>
        <v>6x36 FEStaal (1770 N/m²)</v>
      </c>
      <c r="AE114" s="19">
        <v>11</v>
      </c>
      <c r="AF114" s="356">
        <v>70.730100000000007</v>
      </c>
      <c r="AI114" s="64" t="str">
        <f t="shared" ref="AI114:AI131" si="29">+AJ114&amp;AK114</f>
        <v>RVS44mm</v>
      </c>
      <c r="AJ114" t="s">
        <v>111</v>
      </c>
      <c r="AK114" s="19" t="s">
        <v>367</v>
      </c>
      <c r="AL114" s="316" t="s">
        <v>412</v>
      </c>
      <c r="AM114" s="64" t="str">
        <f t="shared" si="25"/>
        <v>Black Pin D24</v>
      </c>
      <c r="AN114" t="s">
        <v>332</v>
      </c>
      <c r="AO114">
        <f t="shared" si="26"/>
        <v>24</v>
      </c>
      <c r="AP114" s="335">
        <v>382.59000000000003</v>
      </c>
      <c r="AS114" s="324"/>
      <c r="AY114" s="64" t="str">
        <f t="shared" si="14"/>
        <v>6x36 FEStaal (1770 N/m²)11</v>
      </c>
      <c r="AZ114" t="str">
        <f t="shared" si="23"/>
        <v>6x36 FEStaal (1770 N/m²)</v>
      </c>
      <c r="BA114" s="19">
        <v>11</v>
      </c>
      <c r="BB114" s="356">
        <v>70.730100000000007</v>
      </c>
      <c r="BC114" s="19"/>
    </row>
    <row r="115" spans="29:55" x14ac:dyDescent="0.25">
      <c r="AC115" s="64" t="str">
        <f t="shared" si="27"/>
        <v>6x36 FEStaal (1770 N/m²)12</v>
      </c>
      <c r="AD115" t="str">
        <f t="shared" si="22"/>
        <v>6x36 FEStaal (1770 N/m²)</v>
      </c>
      <c r="AE115" s="19">
        <v>12</v>
      </c>
      <c r="AF115" s="355">
        <v>84.169800000000009</v>
      </c>
      <c r="AI115" s="64" t="str">
        <f t="shared" si="29"/>
        <v>RVS48mm</v>
      </c>
      <c r="AJ115" t="s">
        <v>111</v>
      </c>
      <c r="AK115" s="19" t="s">
        <v>368</v>
      </c>
      <c r="AL115" s="316" t="s">
        <v>412</v>
      </c>
      <c r="AM115" s="64" t="str">
        <f t="shared" si="25"/>
        <v>Black Pin D27</v>
      </c>
      <c r="AN115" t="s">
        <v>332</v>
      </c>
      <c r="AO115">
        <f t="shared" si="26"/>
        <v>27</v>
      </c>
      <c r="AP115" s="335">
        <v>500.31</v>
      </c>
      <c r="AS115" s="324"/>
      <c r="AY115" s="64" t="str">
        <f t="shared" si="14"/>
        <v>6x36 FEStaal (1770 N/m²)12</v>
      </c>
      <c r="AZ115" t="str">
        <f t="shared" si="23"/>
        <v>6x36 FEStaal (1770 N/m²)</v>
      </c>
      <c r="BA115" s="19">
        <v>12</v>
      </c>
      <c r="BB115" s="355">
        <v>84.169800000000009</v>
      </c>
      <c r="BC115" s="19"/>
    </row>
    <row r="116" spans="29:55" x14ac:dyDescent="0.25">
      <c r="AC116" s="64" t="str">
        <f t="shared" si="27"/>
        <v>6x36 FEStaal (1770 N/m²)13</v>
      </c>
      <c r="AD116" t="str">
        <f t="shared" si="22"/>
        <v>6x36 FEStaal (1770 N/m²)</v>
      </c>
      <c r="AE116" s="19">
        <v>13</v>
      </c>
      <c r="AF116" s="356">
        <v>99.081000000000003</v>
      </c>
      <c r="AI116" s="64" t="str">
        <f t="shared" si="29"/>
        <v>RVS50mm</v>
      </c>
      <c r="AJ116" t="s">
        <v>111</v>
      </c>
      <c r="AK116" s="19" t="s">
        <v>886</v>
      </c>
      <c r="AL116" s="316" t="s">
        <v>412</v>
      </c>
      <c r="AM116" s="64" t="str">
        <f t="shared" si="25"/>
        <v>Black Pin D30</v>
      </c>
      <c r="AN116" t="s">
        <v>332</v>
      </c>
      <c r="AO116">
        <f t="shared" si="26"/>
        <v>30</v>
      </c>
      <c r="AP116" s="335">
        <v>559.17000000000007</v>
      </c>
      <c r="AS116" s="324"/>
      <c r="AY116" s="64" t="str">
        <f t="shared" si="14"/>
        <v>6x36 FEStaal (1770 N/m²)13</v>
      </c>
      <c r="AZ116" t="str">
        <f t="shared" si="23"/>
        <v>6x36 FEStaal (1770 N/m²)</v>
      </c>
      <c r="BA116" s="19">
        <v>13</v>
      </c>
      <c r="BB116" s="356">
        <v>99.081000000000003</v>
      </c>
      <c r="BC116" s="19"/>
    </row>
    <row r="117" spans="29:55" x14ac:dyDescent="0.25">
      <c r="AC117" s="64" t="str">
        <f t="shared" si="27"/>
        <v>6x36 FEStaal (1770 N/m²)14</v>
      </c>
      <c r="AD117" t="str">
        <f t="shared" si="22"/>
        <v>6x36 FEStaal (1770 N/m²)</v>
      </c>
      <c r="AE117" s="19">
        <v>14</v>
      </c>
      <c r="AF117" s="355">
        <v>113.79600000000001</v>
      </c>
      <c r="AI117" s="64" t="str">
        <f t="shared" si="29"/>
        <v>RVS52mm</v>
      </c>
      <c r="AJ117" t="s">
        <v>111</v>
      </c>
      <c r="AK117" s="19" t="s">
        <v>369</v>
      </c>
      <c r="AL117" s="316" t="s">
        <v>412</v>
      </c>
      <c r="AM117" s="64" t="str">
        <f t="shared" si="25"/>
        <v>Black Pin D36</v>
      </c>
      <c r="AN117" t="s">
        <v>332</v>
      </c>
      <c r="AO117">
        <f t="shared" si="26"/>
        <v>36</v>
      </c>
      <c r="AP117" s="335">
        <v>706.32</v>
      </c>
      <c r="AS117" s="324"/>
      <c r="AY117" s="64" t="str">
        <f t="shared" si="14"/>
        <v>6x36 FEStaal (1770 N/m²)14</v>
      </c>
      <c r="AZ117" t="str">
        <f t="shared" si="23"/>
        <v>6x36 FEStaal (1770 N/m²)</v>
      </c>
      <c r="BA117" s="19">
        <v>14</v>
      </c>
      <c r="BB117" s="355">
        <v>113.79600000000001</v>
      </c>
      <c r="BC117" s="19"/>
    </row>
    <row r="118" spans="29:55" x14ac:dyDescent="0.25">
      <c r="AC118" s="64" t="str">
        <f t="shared" si="27"/>
        <v>6x36 FEStaal (1770 N/m²)15</v>
      </c>
      <c r="AD118" t="str">
        <f t="shared" si="22"/>
        <v>6x36 FEStaal (1770 N/m²)</v>
      </c>
      <c r="AE118" s="19">
        <v>15</v>
      </c>
      <c r="AF118" s="356">
        <v>131.45400000000001</v>
      </c>
      <c r="AI118" s="64" t="str">
        <f t="shared" si="29"/>
        <v>RVS1/4"</v>
      </c>
      <c r="AJ118" t="s">
        <v>111</v>
      </c>
      <c r="AK118" s="309" t="s">
        <v>346</v>
      </c>
      <c r="AL118" s="316" t="s">
        <v>412</v>
      </c>
      <c r="AM118" s="64" t="str">
        <f t="shared" si="25"/>
        <v>Black Pin D38</v>
      </c>
      <c r="AN118" t="s">
        <v>332</v>
      </c>
      <c r="AO118">
        <f t="shared" si="26"/>
        <v>38</v>
      </c>
      <c r="AP118" s="335">
        <v>1000.62</v>
      </c>
      <c r="AS118" s="324"/>
      <c r="AY118" s="64" t="str">
        <f t="shared" si="14"/>
        <v>6x36 FEStaal (1770 N/m²)15</v>
      </c>
      <c r="AZ118" t="str">
        <f t="shared" si="23"/>
        <v>6x36 FEStaal (1770 N/m²)</v>
      </c>
      <c r="BA118" s="19">
        <v>15</v>
      </c>
      <c r="BB118" s="356">
        <v>131.45400000000001</v>
      </c>
      <c r="BC118" s="19"/>
    </row>
    <row r="119" spans="29:55" x14ac:dyDescent="0.25">
      <c r="AC119" s="64" t="str">
        <f t="shared" si="27"/>
        <v>6x36 FEStaal (1770 N/m²)16</v>
      </c>
      <c r="AD119" t="str">
        <f t="shared" si="22"/>
        <v>6x36 FEStaal (1770 N/m²)</v>
      </c>
      <c r="AE119" s="19">
        <v>16</v>
      </c>
      <c r="AF119" s="355">
        <v>150.09300000000002</v>
      </c>
      <c r="AI119" s="64" t="str">
        <f t="shared" si="29"/>
        <v>RVS5/16"</v>
      </c>
      <c r="AJ119" t="s">
        <v>111</v>
      </c>
      <c r="AK119" s="309" t="s">
        <v>347</v>
      </c>
      <c r="AL119" s="316" t="s">
        <v>412</v>
      </c>
      <c r="AM119" s="65" t="str">
        <f t="shared" si="25"/>
        <v>Black Pin D45</v>
      </c>
      <c r="AN119" s="67" t="s">
        <v>332</v>
      </c>
      <c r="AO119" s="67">
        <f t="shared" si="26"/>
        <v>45</v>
      </c>
      <c r="AP119" s="336">
        <v>1471.5</v>
      </c>
      <c r="AS119" s="324"/>
      <c r="AY119" s="64" t="str">
        <f t="shared" si="14"/>
        <v>6x36 FEStaal (1770 N/m²)16</v>
      </c>
      <c r="AZ119" t="str">
        <f t="shared" si="23"/>
        <v>6x36 FEStaal (1770 N/m²)</v>
      </c>
      <c r="BA119" s="19">
        <v>16</v>
      </c>
      <c r="BB119" s="355">
        <v>150.09300000000002</v>
      </c>
      <c r="BC119" s="19"/>
    </row>
    <row r="120" spans="29:55" x14ac:dyDescent="0.25">
      <c r="AC120" s="64" t="str">
        <f t="shared" si="27"/>
        <v>6x36 FEStaal (1770 N/m²)17</v>
      </c>
      <c r="AD120" t="str">
        <f t="shared" si="22"/>
        <v>6x36 FEStaal (1770 N/m²)</v>
      </c>
      <c r="AE120" s="19">
        <v>17</v>
      </c>
      <c r="AF120" s="356">
        <v>168.732</v>
      </c>
      <c r="AI120" s="64" t="str">
        <f t="shared" si="29"/>
        <v>RVS3/8"</v>
      </c>
      <c r="AJ120" t="s">
        <v>111</v>
      </c>
      <c r="AK120" s="310" t="s">
        <v>348</v>
      </c>
      <c r="AL120" s="316" t="s">
        <v>412</v>
      </c>
      <c r="AM120" s="67" t="str">
        <f t="shared" si="25"/>
        <v>-</v>
      </c>
      <c r="AN120" s="93" t="s">
        <v>412</v>
      </c>
      <c r="AP120" s="19">
        <v>0</v>
      </c>
      <c r="AY120" s="64" t="str">
        <f t="shared" si="14"/>
        <v>6x36 FEStaal (1770 N/m²)17</v>
      </c>
      <c r="AZ120" t="str">
        <f t="shared" si="23"/>
        <v>6x36 FEStaal (1770 N/m²)</v>
      </c>
      <c r="BA120" s="19">
        <v>17</v>
      </c>
      <c r="BB120" s="356">
        <v>168.732</v>
      </c>
      <c r="BC120" s="19"/>
    </row>
    <row r="121" spans="29:55" x14ac:dyDescent="0.25">
      <c r="AC121" s="64" t="str">
        <f t="shared" si="27"/>
        <v>6x36 FEStaal (1770 N/m²)18</v>
      </c>
      <c r="AD121" t="str">
        <f t="shared" si="22"/>
        <v>6x36 FEStaal (1770 N/m²)</v>
      </c>
      <c r="AE121" s="19">
        <v>18</v>
      </c>
      <c r="AF121" s="355">
        <v>189.33300000000003</v>
      </c>
      <c r="AI121" s="64" t="str">
        <f t="shared" si="29"/>
        <v>RVS7/16"</v>
      </c>
      <c r="AJ121" t="s">
        <v>111</v>
      </c>
      <c r="AK121" s="310" t="s">
        <v>349</v>
      </c>
      <c r="AL121" s="316" t="s">
        <v>412</v>
      </c>
      <c r="AM121"/>
      <c r="AY121" s="64" t="str">
        <f t="shared" si="14"/>
        <v>6x36 FEStaal (1770 N/m²)18</v>
      </c>
      <c r="AZ121" t="str">
        <f t="shared" si="23"/>
        <v>6x36 FEStaal (1770 N/m²)</v>
      </c>
      <c r="BA121" s="19">
        <v>18</v>
      </c>
      <c r="BB121" s="355">
        <v>189.33300000000003</v>
      </c>
      <c r="BC121" s="19"/>
    </row>
    <row r="122" spans="29:55" x14ac:dyDescent="0.25">
      <c r="AC122" s="64" t="str">
        <f t="shared" si="27"/>
        <v>6x36 FEStaal (1770 N/m²)19</v>
      </c>
      <c r="AD122" t="str">
        <f t="shared" si="22"/>
        <v>6x36 FEStaal (1770 N/m²)</v>
      </c>
      <c r="AE122" s="19">
        <v>19</v>
      </c>
      <c r="AF122" s="356">
        <v>210.91500000000002</v>
      </c>
      <c r="AG122"/>
      <c r="AI122" s="64" t="str">
        <f t="shared" si="29"/>
        <v>RVS1/2"</v>
      </c>
      <c r="AJ122" t="s">
        <v>111</v>
      </c>
      <c r="AK122" s="310" t="s">
        <v>350</v>
      </c>
      <c r="AL122" s="316" t="s">
        <v>412</v>
      </c>
      <c r="AM122"/>
      <c r="AY122" s="64" t="str">
        <f t="shared" si="14"/>
        <v>6x36 FEStaal (1770 N/m²)19</v>
      </c>
      <c r="AZ122" t="str">
        <f t="shared" si="23"/>
        <v>6x36 FEStaal (1770 N/m²)</v>
      </c>
      <c r="BA122" s="19">
        <v>19</v>
      </c>
      <c r="BB122" s="356">
        <v>210.91500000000002</v>
      </c>
      <c r="BC122" s="19"/>
    </row>
    <row r="123" spans="29:55" x14ac:dyDescent="0.25">
      <c r="AC123" s="64" t="str">
        <f t="shared" si="27"/>
        <v>6x36 FEStaal (1770 N/m²)20</v>
      </c>
      <c r="AD123" t="str">
        <f t="shared" si="22"/>
        <v>6x36 FEStaal (1770 N/m²)</v>
      </c>
      <c r="AE123" s="19">
        <v>20</v>
      </c>
      <c r="AF123" s="355">
        <v>234.459</v>
      </c>
      <c r="AI123" s="64" t="str">
        <f t="shared" si="29"/>
        <v>RVS5/8"</v>
      </c>
      <c r="AJ123" t="s">
        <v>111</v>
      </c>
      <c r="AK123" s="310" t="s">
        <v>351</v>
      </c>
      <c r="AL123" s="316" t="s">
        <v>412</v>
      </c>
      <c r="AM123"/>
      <c r="AY123" s="64" t="str">
        <f t="shared" si="14"/>
        <v>6x36 FEStaal (1770 N/m²)20</v>
      </c>
      <c r="AZ123" t="str">
        <f t="shared" si="23"/>
        <v>6x36 FEStaal (1770 N/m²)</v>
      </c>
      <c r="BA123" s="19">
        <v>20</v>
      </c>
      <c r="BB123" s="355">
        <v>234.459</v>
      </c>
      <c r="BC123" s="19"/>
    </row>
    <row r="124" spans="29:55" x14ac:dyDescent="0.25">
      <c r="AC124" s="64" t="str">
        <f t="shared" ref="AC124:AC133" si="30">AD124&amp;AE124</f>
        <v>6x36 FEStaal (1770 N/m²)22</v>
      </c>
      <c r="AD124" t="str">
        <f t="shared" si="22"/>
        <v>6x36 FEStaal (1770 N/m²)</v>
      </c>
      <c r="AE124" s="19">
        <v>22</v>
      </c>
      <c r="AF124" s="356">
        <v>283</v>
      </c>
      <c r="AI124" s="64" t="str">
        <f t="shared" si="29"/>
        <v>RVS3/4"</v>
      </c>
      <c r="AJ124" t="s">
        <v>111</v>
      </c>
      <c r="AK124" s="310" t="s">
        <v>352</v>
      </c>
      <c r="AL124" s="316" t="s">
        <v>412</v>
      </c>
      <c r="AM124"/>
      <c r="AY124" s="64" t="str">
        <f t="shared" si="14"/>
        <v>6x36 FEStaal (1770 N/m²)22</v>
      </c>
      <c r="AZ124" t="str">
        <f t="shared" si="23"/>
        <v>6x36 FEStaal (1770 N/m²)</v>
      </c>
      <c r="BA124" s="19">
        <v>22</v>
      </c>
      <c r="BB124" s="356">
        <v>283</v>
      </c>
      <c r="BC124" s="19"/>
    </row>
    <row r="125" spans="29:55" x14ac:dyDescent="0.25">
      <c r="AC125" s="64" t="str">
        <f t="shared" si="30"/>
        <v>6x36 FEStaal (1770 N/m²)24</v>
      </c>
      <c r="AD125" t="str">
        <f t="shared" si="22"/>
        <v>6x36 FEStaal (1770 N/m²)</v>
      </c>
      <c r="AE125" s="19">
        <v>24</v>
      </c>
      <c r="AF125" s="356">
        <v>336</v>
      </c>
      <c r="AI125" s="64" t="str">
        <f t="shared" si="29"/>
        <v>RVS7/8"</v>
      </c>
      <c r="AJ125" t="s">
        <v>111</v>
      </c>
      <c r="AK125" s="310" t="s">
        <v>353</v>
      </c>
      <c r="AL125" s="316" t="s">
        <v>412</v>
      </c>
      <c r="AM125"/>
      <c r="AY125" s="64" t="str">
        <f t="shared" si="14"/>
        <v>6x36 FEStaal (1770 N/m²)24</v>
      </c>
      <c r="AZ125" t="str">
        <f t="shared" si="23"/>
        <v>6x36 FEStaal (1770 N/m²)</v>
      </c>
      <c r="BA125" s="19">
        <v>24</v>
      </c>
      <c r="BB125" s="356">
        <v>336</v>
      </c>
      <c r="BC125" s="19"/>
    </row>
    <row r="126" spans="29:55" x14ac:dyDescent="0.25">
      <c r="AC126" s="64" t="str">
        <f t="shared" si="30"/>
        <v>6x36 FEStaal (1770 N/m²)26</v>
      </c>
      <c r="AD126" t="str">
        <f t="shared" si="22"/>
        <v>6x36 FEStaal (1770 N/m²)</v>
      </c>
      <c r="AE126" s="19">
        <v>26</v>
      </c>
      <c r="AF126" s="356">
        <v>395</v>
      </c>
      <c r="AI126" s="64" t="str">
        <f t="shared" si="29"/>
        <v>RVS1"</v>
      </c>
      <c r="AJ126" t="s">
        <v>111</v>
      </c>
      <c r="AK126" s="310" t="s">
        <v>354</v>
      </c>
      <c r="AL126" s="316" t="s">
        <v>412</v>
      </c>
      <c r="AM126"/>
      <c r="AY126" s="64" t="str">
        <f t="shared" si="14"/>
        <v>6x36 FEStaal (1770 N/m²)26</v>
      </c>
      <c r="AZ126" t="str">
        <f t="shared" si="23"/>
        <v>6x36 FEStaal (1770 N/m²)</v>
      </c>
      <c r="BA126" s="19">
        <v>26</v>
      </c>
      <c r="BB126" s="356">
        <v>395</v>
      </c>
      <c r="BC126" s="19"/>
    </row>
    <row r="127" spans="29:55" x14ac:dyDescent="0.25">
      <c r="AC127" s="64" t="str">
        <f t="shared" si="30"/>
        <v>6x36 FEStaal (1770 N/m²)28</v>
      </c>
      <c r="AD127" t="str">
        <f t="shared" si="22"/>
        <v>6x36 FEStaal (1770 N/m²)</v>
      </c>
      <c r="AE127" s="19">
        <v>28</v>
      </c>
      <c r="AF127" s="356">
        <v>458</v>
      </c>
      <c r="AI127" s="64" t="str">
        <f t="shared" si="29"/>
        <v>RVS1 1/8"</v>
      </c>
      <c r="AJ127" t="s">
        <v>111</v>
      </c>
      <c r="AK127" s="310" t="s">
        <v>355</v>
      </c>
      <c r="AL127" s="316" t="s">
        <v>412</v>
      </c>
      <c r="AM127"/>
      <c r="AY127" s="64" t="str">
        <f t="shared" si="14"/>
        <v>6x36 FEStaal (1770 N/m²)28</v>
      </c>
      <c r="AZ127" t="str">
        <f t="shared" si="23"/>
        <v>6x36 FEStaal (1770 N/m²)</v>
      </c>
      <c r="BA127" s="19">
        <v>28</v>
      </c>
      <c r="BB127" s="356">
        <v>458</v>
      </c>
      <c r="BC127" s="19"/>
    </row>
    <row r="128" spans="29:55" x14ac:dyDescent="0.25">
      <c r="AC128" s="65" t="str">
        <f t="shared" si="30"/>
        <v>6x36 FEStaal (1770 N/m²)30</v>
      </c>
      <c r="AD128" s="67" t="str">
        <f t="shared" si="22"/>
        <v>6x36 FEStaal (1770 N/m²)</v>
      </c>
      <c r="AE128" s="379">
        <v>30</v>
      </c>
      <c r="AF128" s="356">
        <v>526</v>
      </c>
      <c r="AI128" s="64" t="str">
        <f t="shared" si="29"/>
        <v>RVS1 1/4"</v>
      </c>
      <c r="AJ128" t="s">
        <v>111</v>
      </c>
      <c r="AK128" s="310" t="s">
        <v>356</v>
      </c>
      <c r="AL128" s="316" t="s">
        <v>412</v>
      </c>
      <c r="AM128"/>
      <c r="AY128" s="65" t="str">
        <f t="shared" si="14"/>
        <v>6x36 FEStaal (1770 N/m²)30</v>
      </c>
      <c r="AZ128" s="67" t="str">
        <f t="shared" si="23"/>
        <v>6x36 FEStaal (1770 N/m²)</v>
      </c>
      <c r="BA128" s="379">
        <v>30</v>
      </c>
      <c r="BB128" s="356">
        <v>526</v>
      </c>
      <c r="BC128" s="19"/>
    </row>
    <row r="129" spans="29:55" x14ac:dyDescent="0.25">
      <c r="AC129" s="373" t="str">
        <f t="shared" si="30"/>
        <v>6x36 SEStaal (1770 N/m²)3</v>
      </c>
      <c r="AD129" s="374" t="str">
        <f>AD8&amp;AC4</f>
        <v>6x36 SEStaal (1770 N/m²)</v>
      </c>
      <c r="AE129" s="63">
        <v>3</v>
      </c>
      <c r="AF129" s="375" t="s">
        <v>412</v>
      </c>
      <c r="AI129" s="64" t="str">
        <f t="shared" si="29"/>
        <v>RVS1 1/2"</v>
      </c>
      <c r="AJ129" t="s">
        <v>111</v>
      </c>
      <c r="AK129" s="310" t="s">
        <v>357</v>
      </c>
      <c r="AL129" s="316" t="s">
        <v>412</v>
      </c>
      <c r="AM129"/>
      <c r="AY129" s="373" t="str">
        <f t="shared" si="14"/>
        <v>6x36 SEStaal (1770 N/m²)3</v>
      </c>
      <c r="AZ129" s="374" t="str">
        <f>AZ7&amp;AY4</f>
        <v>6x36 SEStaal (1770 N/m²)</v>
      </c>
      <c r="BA129" s="63">
        <v>3</v>
      </c>
      <c r="BB129" s="375" t="s">
        <v>412</v>
      </c>
      <c r="BC129" s="63"/>
    </row>
    <row r="130" spans="29:55" x14ac:dyDescent="0.25">
      <c r="AC130" s="64" t="str">
        <f t="shared" si="30"/>
        <v>6x36 SEStaal (1770 N/m²)4</v>
      </c>
      <c r="AD130" t="str">
        <f>AD129</f>
        <v>6x36 SEStaal (1770 N/m²)</v>
      </c>
      <c r="AE130" s="19">
        <v>4</v>
      </c>
      <c r="AF130" s="356" t="s">
        <v>412</v>
      </c>
      <c r="AI130" s="64" t="str">
        <f t="shared" si="29"/>
        <v>RVS1 3/4"</v>
      </c>
      <c r="AJ130" t="s">
        <v>111</v>
      </c>
      <c r="AK130" s="310" t="s">
        <v>358</v>
      </c>
      <c r="AL130" s="316" t="s">
        <v>412</v>
      </c>
      <c r="AM130"/>
      <c r="AY130" s="64" t="str">
        <f t="shared" si="14"/>
        <v>6x36 SEStaal (1770 N/m²)4</v>
      </c>
      <c r="AZ130" t="str">
        <f>AZ129</f>
        <v>6x36 SEStaal (1770 N/m²)</v>
      </c>
      <c r="BA130" s="19">
        <v>4</v>
      </c>
      <c r="BB130" s="356" t="s">
        <v>412</v>
      </c>
      <c r="BC130" s="19"/>
    </row>
    <row r="131" spans="29:55" x14ac:dyDescent="0.25">
      <c r="AC131" s="64" t="str">
        <f t="shared" si="30"/>
        <v>6x36 SEStaal (1770 N/m²)5</v>
      </c>
      <c r="AD131" t="str">
        <f t="shared" ref="AD131:AD146" si="31">AD130</f>
        <v>6x36 SEStaal (1770 N/m²)</v>
      </c>
      <c r="AE131" s="19">
        <v>5</v>
      </c>
      <c r="AF131" s="356" t="s">
        <v>412</v>
      </c>
      <c r="AI131" s="64" t="str">
        <f t="shared" si="29"/>
        <v>RVS2"</v>
      </c>
      <c r="AJ131" t="s">
        <v>111</v>
      </c>
      <c r="AK131" s="310" t="s">
        <v>359</v>
      </c>
      <c r="AL131" s="316" t="s">
        <v>412</v>
      </c>
      <c r="AM131"/>
      <c r="AY131" s="64" t="str">
        <f t="shared" si="14"/>
        <v>6x36 SEStaal (1770 N/m²)5</v>
      </c>
      <c r="AZ131" t="str">
        <f t="shared" ref="AZ131:AZ146" si="32">AZ130</f>
        <v>6x36 SEStaal (1770 N/m²)</v>
      </c>
      <c r="BA131" s="19">
        <v>5</v>
      </c>
      <c r="BB131" s="356" t="s">
        <v>412</v>
      </c>
      <c r="BC131" s="19"/>
    </row>
    <row r="132" spans="29:55" x14ac:dyDescent="0.25">
      <c r="AC132" s="64" t="str">
        <f t="shared" si="30"/>
        <v>6x36 SEStaal (1770 N/m²)6</v>
      </c>
      <c r="AD132" t="str">
        <f t="shared" si="31"/>
        <v>6x36 SEStaal (1770 N/m²)</v>
      </c>
      <c r="AE132" s="19">
        <v>6</v>
      </c>
      <c r="AF132" s="356" t="s">
        <v>412</v>
      </c>
      <c r="AI132" s="64" t="str">
        <f t="shared" ref="AI132:AI139" si="33">+AJ132&amp;AK132</f>
        <v>RVS3mm</v>
      </c>
      <c r="AJ132" t="s">
        <v>111</v>
      </c>
      <c r="AK132" s="19" t="s">
        <v>630</v>
      </c>
      <c r="AL132" s="316" t="s">
        <v>412</v>
      </c>
      <c r="AM132"/>
      <c r="AY132" s="64" t="str">
        <f t="shared" si="14"/>
        <v>6x36 SEStaal (1770 N/m²)6</v>
      </c>
      <c r="AZ132" t="str">
        <f t="shared" si="32"/>
        <v>6x36 SEStaal (1770 N/m²)</v>
      </c>
      <c r="BA132" s="19">
        <v>6</v>
      </c>
      <c r="BB132" s="356" t="s">
        <v>412</v>
      </c>
      <c r="BC132" s="19"/>
    </row>
    <row r="133" spans="29:55" x14ac:dyDescent="0.25">
      <c r="AC133" s="64" t="str">
        <f t="shared" si="30"/>
        <v>6x36 SEStaal (1770 N/m²)7</v>
      </c>
      <c r="AD133" t="str">
        <f t="shared" si="31"/>
        <v>6x36 SEStaal (1770 N/m²)</v>
      </c>
      <c r="AE133" s="19">
        <v>7</v>
      </c>
      <c r="AF133" s="356" t="s">
        <v>412</v>
      </c>
      <c r="AI133" s="64" t="str">
        <f t="shared" si="33"/>
        <v>RVS4mm</v>
      </c>
      <c r="AJ133" t="s">
        <v>111</v>
      </c>
      <c r="AK133" s="19" t="s">
        <v>609</v>
      </c>
      <c r="AL133" s="316" t="s">
        <v>412</v>
      </c>
      <c r="AM133"/>
      <c r="AY133" s="64" t="str">
        <f t="shared" si="14"/>
        <v>6x36 SEStaal (1770 N/m²)7</v>
      </c>
      <c r="AZ133" t="str">
        <f t="shared" si="32"/>
        <v>6x36 SEStaal (1770 N/m²)</v>
      </c>
      <c r="BA133" s="19">
        <v>7</v>
      </c>
      <c r="BB133" s="356" t="s">
        <v>412</v>
      </c>
      <c r="BC133" s="19"/>
    </row>
    <row r="134" spans="29:55" x14ac:dyDescent="0.25">
      <c r="AC134" s="64" t="str">
        <f t="shared" ref="AC134:AC142" si="34">AD134&amp;AE134</f>
        <v>6x36 SEStaal (1770 N/m²)8</v>
      </c>
      <c r="AD134" t="str">
        <f t="shared" si="31"/>
        <v>6x36 SEStaal (1770 N/m²)</v>
      </c>
      <c r="AE134" s="19">
        <v>8</v>
      </c>
      <c r="AF134" s="355">
        <v>40.319100000000006</v>
      </c>
      <c r="AI134" s="64" t="str">
        <f t="shared" si="33"/>
        <v>RVS5mm</v>
      </c>
      <c r="AJ134" t="s">
        <v>111</v>
      </c>
      <c r="AK134" s="19" t="s">
        <v>631</v>
      </c>
      <c r="AL134" s="316" t="s">
        <v>412</v>
      </c>
      <c r="AM134"/>
      <c r="AY134" s="64" t="str">
        <f t="shared" si="14"/>
        <v>6x36 SEStaal (1770 N/m²)8</v>
      </c>
      <c r="AZ134" t="str">
        <f t="shared" si="32"/>
        <v>6x36 SEStaal (1770 N/m²)</v>
      </c>
      <c r="BA134" s="19">
        <v>8</v>
      </c>
      <c r="BB134" s="355">
        <v>40.319100000000006</v>
      </c>
      <c r="BC134" s="19"/>
    </row>
    <row r="135" spans="29:55" x14ac:dyDescent="0.25">
      <c r="AC135" s="64" t="str">
        <f t="shared" si="34"/>
        <v>6x36 SEStaal (1770 N/m²)9</v>
      </c>
      <c r="AD135" t="str">
        <f t="shared" si="31"/>
        <v>6x36 SEStaal (1770 N/m²)</v>
      </c>
      <c r="AE135" s="19">
        <v>9</v>
      </c>
      <c r="AF135" s="356">
        <v>51.012000000000008</v>
      </c>
      <c r="AI135" s="64" t="str">
        <f t="shared" si="33"/>
        <v>RVS6mm</v>
      </c>
      <c r="AJ135" t="s">
        <v>111</v>
      </c>
      <c r="AK135" s="19" t="s">
        <v>608</v>
      </c>
      <c r="AL135" s="316" t="s">
        <v>412</v>
      </c>
      <c r="AM135"/>
      <c r="AY135" s="64" t="str">
        <f t="shared" si="14"/>
        <v>6x36 SEStaal (1770 N/m²)9</v>
      </c>
      <c r="AZ135" t="str">
        <f t="shared" si="32"/>
        <v>6x36 SEStaal (1770 N/m²)</v>
      </c>
      <c r="BA135" s="19">
        <v>9</v>
      </c>
      <c r="BB135" s="356">
        <v>51.012000000000008</v>
      </c>
      <c r="BC135" s="19"/>
    </row>
    <row r="136" spans="29:55" x14ac:dyDescent="0.25">
      <c r="AC136" s="64" t="str">
        <f t="shared" si="34"/>
        <v>6x36 SEStaal (1770 N/m²)10</v>
      </c>
      <c r="AD136" t="str">
        <f t="shared" si="31"/>
        <v>6x36 SEStaal (1770 N/m²)</v>
      </c>
      <c r="AE136" s="19">
        <v>10</v>
      </c>
      <c r="AF136" s="355">
        <v>62.980200000000004</v>
      </c>
      <c r="AI136" s="62" t="str">
        <f t="shared" si="33"/>
        <v>Brons3mm</v>
      </c>
      <c r="AJ136" s="66" t="s">
        <v>121</v>
      </c>
      <c r="AK136" s="63" t="s">
        <v>630</v>
      </c>
      <c r="AL136" s="315" t="s">
        <v>412</v>
      </c>
      <c r="AM136"/>
      <c r="AY136" s="64" t="str">
        <f t="shared" si="14"/>
        <v>6x36 SEStaal (1770 N/m²)10</v>
      </c>
      <c r="AZ136" t="str">
        <f t="shared" si="32"/>
        <v>6x36 SEStaal (1770 N/m²)</v>
      </c>
      <c r="BA136" s="19">
        <v>10</v>
      </c>
      <c r="BB136" s="355">
        <v>62.980200000000004</v>
      </c>
      <c r="BC136" s="19"/>
    </row>
    <row r="137" spans="29:55" x14ac:dyDescent="0.25">
      <c r="AC137" s="64" t="str">
        <f t="shared" si="34"/>
        <v>6x36 SEStaal (1770 N/m²)11</v>
      </c>
      <c r="AD137" t="str">
        <f t="shared" si="31"/>
        <v>6x36 SEStaal (1770 N/m²)</v>
      </c>
      <c r="AE137" s="19">
        <v>11</v>
      </c>
      <c r="AF137" s="356">
        <v>76.223699999999994</v>
      </c>
      <c r="AI137" s="64" t="str">
        <f t="shared" si="33"/>
        <v>Brons4mm</v>
      </c>
      <c r="AJ137" t="s">
        <v>121</v>
      </c>
      <c r="AK137" s="19" t="s">
        <v>609</v>
      </c>
      <c r="AL137" s="316" t="s">
        <v>412</v>
      </c>
      <c r="AM137"/>
      <c r="AY137" s="64" t="str">
        <f t="shared" si="14"/>
        <v>6x36 SEStaal (1770 N/m²)11</v>
      </c>
      <c r="AZ137" t="str">
        <f t="shared" si="32"/>
        <v>6x36 SEStaal (1770 N/m²)</v>
      </c>
      <c r="BA137" s="19">
        <v>11</v>
      </c>
      <c r="BB137" s="356">
        <v>76.223699999999994</v>
      </c>
      <c r="BC137" s="19"/>
    </row>
    <row r="138" spans="29:55" x14ac:dyDescent="0.25">
      <c r="AC138" s="64" t="str">
        <f t="shared" si="34"/>
        <v>6x36 SEStaal (1770 N/m²)12</v>
      </c>
      <c r="AD138" t="str">
        <f t="shared" si="31"/>
        <v>6x36 SEStaal (1770 N/m²)</v>
      </c>
      <c r="AE138" s="19">
        <v>12</v>
      </c>
      <c r="AF138" s="355">
        <v>90.742500000000007</v>
      </c>
      <c r="AI138" s="64" t="str">
        <f t="shared" si="33"/>
        <v>Brons5mm</v>
      </c>
      <c r="AJ138" t="s">
        <v>121</v>
      </c>
      <c r="AK138" s="19" t="s">
        <v>631</v>
      </c>
      <c r="AL138" s="316" t="s">
        <v>412</v>
      </c>
      <c r="AM138"/>
      <c r="AY138" s="64" t="str">
        <f t="shared" si="14"/>
        <v>6x36 SEStaal (1770 N/m²)12</v>
      </c>
      <c r="AZ138" t="str">
        <f t="shared" si="32"/>
        <v>6x36 SEStaal (1770 N/m²)</v>
      </c>
      <c r="BA138" s="19">
        <v>12</v>
      </c>
      <c r="BB138" s="355">
        <v>90.742500000000007</v>
      </c>
      <c r="BC138" s="19"/>
    </row>
    <row r="139" spans="29:55" x14ac:dyDescent="0.25">
      <c r="AC139" s="64" t="str">
        <f t="shared" si="34"/>
        <v>6x36 SEStaal (1770 N/m²)13</v>
      </c>
      <c r="AD139" t="str">
        <f t="shared" si="31"/>
        <v>6x36 SEStaal (1770 N/m²)</v>
      </c>
      <c r="AE139" s="19">
        <v>13</v>
      </c>
      <c r="AF139" s="356">
        <v>106</v>
      </c>
      <c r="AI139" s="64" t="str">
        <f t="shared" si="33"/>
        <v>Brons6mm</v>
      </c>
      <c r="AJ139" t="s">
        <v>121</v>
      </c>
      <c r="AK139" s="19" t="s">
        <v>608</v>
      </c>
      <c r="AL139" s="316" t="s">
        <v>412</v>
      </c>
      <c r="AM139"/>
      <c r="AY139" s="64" t="str">
        <f t="shared" si="14"/>
        <v>6x36 SEStaal (1770 N/m²)13</v>
      </c>
      <c r="AZ139" t="str">
        <f t="shared" si="32"/>
        <v>6x36 SEStaal (1770 N/m²)</v>
      </c>
      <c r="BA139" s="19">
        <v>13</v>
      </c>
      <c r="BB139" s="356">
        <v>106</v>
      </c>
      <c r="BC139" s="19"/>
    </row>
    <row r="140" spans="29:55" x14ac:dyDescent="0.25">
      <c r="AC140" s="64" t="str">
        <f t="shared" si="34"/>
        <v>6x36 SEStaal (1770 N/m²)14</v>
      </c>
      <c r="AD140" t="str">
        <f t="shared" si="31"/>
        <v>6x36 SEStaal (1770 N/m²)</v>
      </c>
      <c r="AE140" s="19">
        <v>14</v>
      </c>
      <c r="AF140" s="355">
        <v>124</v>
      </c>
      <c r="AI140" s="64" t="str">
        <f t="shared" ref="AI140:AI145" si="35">+AJ140&amp;AK140</f>
        <v>Brons8mm</v>
      </c>
      <c r="AJ140" t="s">
        <v>121</v>
      </c>
      <c r="AK140" s="19" t="s">
        <v>607</v>
      </c>
      <c r="AL140" s="326">
        <v>20</v>
      </c>
      <c r="AM140"/>
      <c r="AR140">
        <f>+AL161*4</f>
        <v>80</v>
      </c>
      <c r="AS140" s="46">
        <v>20</v>
      </c>
      <c r="AY140" s="64" t="str">
        <f t="shared" si="14"/>
        <v>6x36 SEStaal (1770 N/m²)14</v>
      </c>
      <c r="AZ140" t="str">
        <f t="shared" si="32"/>
        <v>6x36 SEStaal (1770 N/m²)</v>
      </c>
      <c r="BA140" s="19">
        <v>14</v>
      </c>
      <c r="BB140" s="355">
        <v>124</v>
      </c>
      <c r="BC140" s="19"/>
    </row>
    <row r="141" spans="29:55" x14ac:dyDescent="0.25">
      <c r="AC141" s="64" t="str">
        <f t="shared" si="34"/>
        <v>6x36 SEStaal (1770 N/m²)15</v>
      </c>
      <c r="AD141" t="str">
        <f t="shared" si="31"/>
        <v>6x36 SEStaal (1770 N/m²)</v>
      </c>
      <c r="AE141" s="19">
        <v>15</v>
      </c>
      <c r="AF141" s="356">
        <v>142</v>
      </c>
      <c r="AI141" s="64" t="str">
        <f t="shared" si="35"/>
        <v>Brons10mm</v>
      </c>
      <c r="AJ141" t="s">
        <v>121</v>
      </c>
      <c r="AK141" s="19" t="s">
        <v>606</v>
      </c>
      <c r="AL141" s="326">
        <v>29.5</v>
      </c>
      <c r="AM141"/>
      <c r="AR141">
        <f>+AL162*4</f>
        <v>118</v>
      </c>
      <c r="AS141" s="46">
        <v>29.5</v>
      </c>
      <c r="AY141" s="64" t="str">
        <f t="shared" si="14"/>
        <v>6x36 SEStaal (1770 N/m²)15</v>
      </c>
      <c r="AZ141" t="str">
        <f t="shared" si="32"/>
        <v>6x36 SEStaal (1770 N/m²)</v>
      </c>
      <c r="BA141" s="19">
        <v>15</v>
      </c>
      <c r="BB141" s="356">
        <v>142</v>
      </c>
      <c r="BC141" s="19"/>
    </row>
    <row r="142" spans="29:55" x14ac:dyDescent="0.25">
      <c r="AC142" s="64" t="str">
        <f t="shared" si="34"/>
        <v>6x36 SEStaal (1770 N/m²)16</v>
      </c>
      <c r="AD142" t="str">
        <f t="shared" si="31"/>
        <v>6x36 SEStaal (1770 N/m²)</v>
      </c>
      <c r="AE142" s="19">
        <v>16</v>
      </c>
      <c r="AF142" s="355">
        <v>161</v>
      </c>
      <c r="AI142" s="64" t="str">
        <f t="shared" si="35"/>
        <v>Brons12mm</v>
      </c>
      <c r="AJ142" t="s">
        <v>121</v>
      </c>
      <c r="AK142" s="19" t="s">
        <v>605</v>
      </c>
      <c r="AL142" s="326">
        <v>57</v>
      </c>
      <c r="AM142"/>
      <c r="AY142" s="64" t="str">
        <f t="shared" si="14"/>
        <v>6x36 SEStaal (1770 N/m²)16</v>
      </c>
      <c r="AZ142" t="str">
        <f t="shared" si="32"/>
        <v>6x36 SEStaal (1770 N/m²)</v>
      </c>
      <c r="BA142" s="19">
        <v>16</v>
      </c>
      <c r="BB142" s="355">
        <v>161</v>
      </c>
      <c r="BC142" s="19"/>
    </row>
    <row r="143" spans="29:55" x14ac:dyDescent="0.25">
      <c r="AC143" s="64" t="str">
        <f t="shared" ref="AC143:AC156" si="36">AD143&amp;AE143</f>
        <v>6x36 SEStaal (1770 N/m²)17</v>
      </c>
      <c r="AD143" t="str">
        <f t="shared" si="31"/>
        <v>6x36 SEStaal (1770 N/m²)</v>
      </c>
      <c r="AE143" s="19">
        <v>17</v>
      </c>
      <c r="AF143" s="356" t="s">
        <v>412</v>
      </c>
      <c r="AI143" s="64" t="str">
        <f t="shared" si="35"/>
        <v>Brons14mm</v>
      </c>
      <c r="AJ143" t="s">
        <v>121</v>
      </c>
      <c r="AK143" s="19" t="s">
        <v>604</v>
      </c>
      <c r="AL143" s="328" t="s">
        <v>412</v>
      </c>
      <c r="AM143"/>
      <c r="AY143" s="64" t="str">
        <f t="shared" si="14"/>
        <v>6x36 SEStaal (1770 N/m²)17</v>
      </c>
      <c r="AZ143" t="str">
        <f t="shared" si="32"/>
        <v>6x36 SEStaal (1770 N/m²)</v>
      </c>
      <c r="BA143" s="19">
        <v>17</v>
      </c>
      <c r="BB143" s="356" t="s">
        <v>412</v>
      </c>
      <c r="BC143" s="19"/>
    </row>
    <row r="144" spans="29:55" x14ac:dyDescent="0.25">
      <c r="AC144" s="64" t="str">
        <f t="shared" si="36"/>
        <v>6x36 SEStaal (1770 N/m²)18</v>
      </c>
      <c r="AD144" t="str">
        <f t="shared" si="31"/>
        <v>6x36 SEStaal (1770 N/m²)</v>
      </c>
      <c r="AE144" s="19">
        <v>18</v>
      </c>
      <c r="AF144" s="355">
        <v>204.04800000000003</v>
      </c>
      <c r="AI144" s="64" t="str">
        <f t="shared" si="35"/>
        <v>Brons16mm</v>
      </c>
      <c r="AJ144" t="s">
        <v>121</v>
      </c>
      <c r="AK144" s="19" t="s">
        <v>603</v>
      </c>
      <c r="AL144" s="326">
        <v>100</v>
      </c>
      <c r="AM144"/>
      <c r="AR144">
        <f>+AL165*4</f>
        <v>400</v>
      </c>
      <c r="AS144" s="46">
        <v>100</v>
      </c>
      <c r="AY144" s="64" t="str">
        <f t="shared" si="14"/>
        <v>6x36 SEStaal (1770 N/m²)18</v>
      </c>
      <c r="AZ144" t="str">
        <f t="shared" si="32"/>
        <v>6x36 SEStaal (1770 N/m²)</v>
      </c>
      <c r="BA144" s="19">
        <v>18</v>
      </c>
      <c r="BB144" s="355">
        <v>204.04800000000003</v>
      </c>
      <c r="BC144" s="19"/>
    </row>
    <row r="145" spans="29:55" x14ac:dyDescent="0.25">
      <c r="AC145" s="64" t="str">
        <f t="shared" si="36"/>
        <v>6x36 SEStaal (1770 N/m²)19</v>
      </c>
      <c r="AD145" t="str">
        <f t="shared" si="31"/>
        <v>6x36 SEStaal (1770 N/m²)</v>
      </c>
      <c r="AE145" s="19">
        <v>19</v>
      </c>
      <c r="AF145" s="356">
        <v>227</v>
      </c>
      <c r="AI145" s="64" t="str">
        <f t="shared" si="35"/>
        <v>Brons18mm</v>
      </c>
      <c r="AJ145" t="s">
        <v>121</v>
      </c>
      <c r="AK145" s="19" t="s">
        <v>360</v>
      </c>
      <c r="AL145" s="328" t="s">
        <v>412</v>
      </c>
      <c r="AM145"/>
      <c r="AR145">
        <f>+AL166*4</f>
        <v>524</v>
      </c>
      <c r="AS145" s="46">
        <v>131</v>
      </c>
      <c r="AY145" s="64" t="str">
        <f t="shared" si="14"/>
        <v>6x36 SEStaal (1770 N/m²)19</v>
      </c>
      <c r="AZ145" t="str">
        <f t="shared" si="32"/>
        <v>6x36 SEStaal (1770 N/m²)</v>
      </c>
      <c r="BA145" s="19">
        <v>19</v>
      </c>
      <c r="BB145" s="356">
        <v>227</v>
      </c>
      <c r="BC145" s="19"/>
    </row>
    <row r="146" spans="29:55" x14ac:dyDescent="0.25">
      <c r="AC146" s="64" t="str">
        <f t="shared" si="36"/>
        <v>6x36 SEStaal (1770 N/m²)20</v>
      </c>
      <c r="AD146" t="str">
        <f t="shared" si="31"/>
        <v>6x36 SEStaal (1770 N/m²)</v>
      </c>
      <c r="AE146" s="19">
        <v>20</v>
      </c>
      <c r="AF146" s="355">
        <v>252</v>
      </c>
      <c r="AI146" s="64" t="str">
        <f t="shared" ref="AI146:AI154" si="37">+AJ146&amp;AK146</f>
        <v>Brons19mm</v>
      </c>
      <c r="AJ146" t="s">
        <v>121</v>
      </c>
      <c r="AK146" s="19" t="s">
        <v>624</v>
      </c>
      <c r="AL146" s="326">
        <v>131</v>
      </c>
      <c r="AM146"/>
      <c r="AY146" s="64" t="str">
        <f t="shared" si="14"/>
        <v>6x36 SEStaal (1770 N/m²)20</v>
      </c>
      <c r="AZ146" t="str">
        <f t="shared" si="32"/>
        <v>6x36 SEStaal (1770 N/m²)</v>
      </c>
      <c r="BA146" s="19">
        <v>20</v>
      </c>
      <c r="BB146" s="355">
        <v>252</v>
      </c>
      <c r="BC146" s="19"/>
    </row>
    <row r="147" spans="29:55" x14ac:dyDescent="0.25">
      <c r="AC147" s="64" t="str">
        <f t="shared" si="36"/>
        <v>6x36 SEStaal (1770 N/m²)22</v>
      </c>
      <c r="AD147" t="str">
        <f>AD146</f>
        <v>6x36 SEStaal (1770 N/m²)</v>
      </c>
      <c r="AE147" s="19">
        <v>22</v>
      </c>
      <c r="AF147" s="356">
        <v>305</v>
      </c>
      <c r="AI147" s="64" t="str">
        <f t="shared" si="37"/>
        <v>Brons20mm</v>
      </c>
      <c r="AJ147" t="s">
        <v>121</v>
      </c>
      <c r="AK147" s="19" t="s">
        <v>623</v>
      </c>
      <c r="AL147" s="328" t="s">
        <v>412</v>
      </c>
      <c r="AM147"/>
      <c r="AR147">
        <f>+AL168*4</f>
        <v>816</v>
      </c>
      <c r="AS147" s="46">
        <v>204</v>
      </c>
      <c r="AY147" s="64" t="str">
        <f t="shared" ref="AY147:AY210" si="38">AZ147&amp;BA147</f>
        <v>6x36 SEStaal (1770 N/m²)22</v>
      </c>
      <c r="AZ147" t="str">
        <f>AZ146</f>
        <v>6x36 SEStaal (1770 N/m²)</v>
      </c>
      <c r="BA147" s="19">
        <v>22</v>
      </c>
      <c r="BB147" s="356">
        <v>305</v>
      </c>
      <c r="BC147" s="19"/>
    </row>
    <row r="148" spans="29:55" x14ac:dyDescent="0.25">
      <c r="AC148" s="64" t="str">
        <f t="shared" si="36"/>
        <v>6x36 SEStaal (1770 N/m²)24</v>
      </c>
      <c r="AD148" t="str">
        <f>AD147</f>
        <v>6x36 SEStaal (1770 N/m²)</v>
      </c>
      <c r="AE148" s="19">
        <v>24</v>
      </c>
      <c r="AF148" s="356">
        <v>363</v>
      </c>
      <c r="AI148" s="64" t="str">
        <f t="shared" si="37"/>
        <v>Brons22mm</v>
      </c>
      <c r="AJ148" t="s">
        <v>121</v>
      </c>
      <c r="AK148" s="19" t="s">
        <v>361</v>
      </c>
      <c r="AL148" s="328" t="s">
        <v>412</v>
      </c>
      <c r="AM148"/>
      <c r="AY148" s="64" t="str">
        <f t="shared" si="38"/>
        <v>6x36 SEStaal (1770 N/m²)24</v>
      </c>
      <c r="AZ148" t="str">
        <f>AZ147</f>
        <v>6x36 SEStaal (1770 N/m²)</v>
      </c>
      <c r="BA148" s="19">
        <v>24</v>
      </c>
      <c r="BB148" s="356">
        <v>363</v>
      </c>
      <c r="BC148" s="19"/>
    </row>
    <row r="149" spans="29:55" x14ac:dyDescent="0.25">
      <c r="AC149" s="64" t="str">
        <f t="shared" si="36"/>
        <v>6x36 SEStaal (1770 N/m²)26</v>
      </c>
      <c r="AD149" t="str">
        <f>AD148</f>
        <v>6x36 SEStaal (1770 N/m²)</v>
      </c>
      <c r="AE149" s="19">
        <v>26</v>
      </c>
      <c r="AF149" s="356">
        <v>426</v>
      </c>
      <c r="AI149" s="64" t="str">
        <f t="shared" si="37"/>
        <v>Brons24mm</v>
      </c>
      <c r="AJ149" t="s">
        <v>121</v>
      </c>
      <c r="AK149" s="19" t="s">
        <v>362</v>
      </c>
      <c r="AL149" s="326">
        <v>204</v>
      </c>
      <c r="AM149"/>
      <c r="AY149" s="64" t="str">
        <f t="shared" si="38"/>
        <v>6x36 SEStaal (1770 N/m²)26</v>
      </c>
      <c r="AZ149" t="str">
        <f>AZ148</f>
        <v>6x36 SEStaal (1770 N/m²)</v>
      </c>
      <c r="BA149" s="19">
        <v>26</v>
      </c>
      <c r="BB149" s="356">
        <v>426</v>
      </c>
      <c r="BC149" s="19"/>
    </row>
    <row r="150" spans="29:55" x14ac:dyDescent="0.25">
      <c r="AC150" s="64" t="str">
        <f t="shared" si="36"/>
        <v>6x36 SEStaal (1770 N/m²)28</v>
      </c>
      <c r="AD150" t="str">
        <f>AD149</f>
        <v>6x36 SEStaal (1770 N/m²)</v>
      </c>
      <c r="AE150" s="19">
        <v>28</v>
      </c>
      <c r="AF150" s="356">
        <v>494</v>
      </c>
      <c r="AI150" s="64" t="str">
        <f t="shared" si="37"/>
        <v>Brons26mm</v>
      </c>
      <c r="AJ150" t="s">
        <v>121</v>
      </c>
      <c r="AK150" s="19" t="s">
        <v>629</v>
      </c>
      <c r="AL150" s="328" t="s">
        <v>412</v>
      </c>
      <c r="AM150"/>
      <c r="AY150" s="64" t="str">
        <f t="shared" si="38"/>
        <v>6x36 SEStaal (1770 N/m²)28</v>
      </c>
      <c r="AZ150" t="str">
        <f>AZ149</f>
        <v>6x36 SEStaal (1770 N/m²)</v>
      </c>
      <c r="BA150" s="19">
        <v>28</v>
      </c>
      <c r="BB150" s="356">
        <v>494</v>
      </c>
      <c r="BC150" s="19"/>
    </row>
    <row r="151" spans="29:55" x14ac:dyDescent="0.25">
      <c r="AC151" s="64" t="str">
        <f t="shared" si="36"/>
        <v>6x36 SEStaal (1770 N/m²)30</v>
      </c>
      <c r="AD151" t="str">
        <f>AD150</f>
        <v>6x36 SEStaal (1770 N/m²)</v>
      </c>
      <c r="AE151" s="379">
        <v>30</v>
      </c>
      <c r="AF151" s="356">
        <v>567</v>
      </c>
      <c r="AI151" s="64" t="str">
        <f t="shared" si="37"/>
        <v>Brons28mm</v>
      </c>
      <c r="AJ151" t="s">
        <v>121</v>
      </c>
      <c r="AK151" s="19" t="s">
        <v>363</v>
      </c>
      <c r="AL151" s="328" t="s">
        <v>412</v>
      </c>
      <c r="AM151"/>
      <c r="AY151" s="64" t="str">
        <f t="shared" si="38"/>
        <v>6x36 SEStaal (1770 N/m²)30</v>
      </c>
      <c r="AZ151" t="str">
        <f>AZ150</f>
        <v>6x36 SEStaal (1770 N/m²)</v>
      </c>
      <c r="BA151" s="379">
        <v>30</v>
      </c>
      <c r="BB151" s="356">
        <v>567</v>
      </c>
      <c r="BC151" s="19"/>
    </row>
    <row r="152" spans="29:55" x14ac:dyDescent="0.25">
      <c r="AC152" s="373" t="str">
        <f t="shared" si="36"/>
        <v>6x36 SEStaal (1960 N/m²)3</v>
      </c>
      <c r="AD152" s="374" t="str">
        <f>AD8&amp;AC5</f>
        <v>6x36 SEStaal (1960 N/m²)</v>
      </c>
      <c r="AE152" s="63">
        <v>3</v>
      </c>
      <c r="AF152" s="375" t="s">
        <v>412</v>
      </c>
      <c r="AI152" s="64" t="str">
        <f t="shared" si="37"/>
        <v>Brons30mm</v>
      </c>
      <c r="AJ152" t="s">
        <v>121</v>
      </c>
      <c r="AK152" s="19" t="s">
        <v>364</v>
      </c>
      <c r="AL152" s="328" t="s">
        <v>412</v>
      </c>
      <c r="AM152"/>
      <c r="AY152" s="373" t="str">
        <f t="shared" si="38"/>
        <v>6x36 SEStaal (1960 N/m²)3</v>
      </c>
      <c r="AZ152" s="374" t="str">
        <f>AZ7&amp;AY5</f>
        <v>6x36 SEStaal (1960 N/m²)</v>
      </c>
      <c r="BA152" s="63">
        <v>3</v>
      </c>
      <c r="BB152" s="375" t="s">
        <v>412</v>
      </c>
      <c r="BC152" s="63"/>
    </row>
    <row r="153" spans="29:55" x14ac:dyDescent="0.25">
      <c r="AC153" s="64" t="str">
        <f t="shared" si="36"/>
        <v>6x36 SEStaal (1960 N/m²)4</v>
      </c>
      <c r="AD153" t="str">
        <f t="shared" ref="AD153:AD169" si="39">$AD$152</f>
        <v>6x36 SEStaal (1960 N/m²)</v>
      </c>
      <c r="AE153" s="19">
        <v>4</v>
      </c>
      <c r="AF153" s="356" t="s">
        <v>412</v>
      </c>
      <c r="AI153" s="64" t="str">
        <f t="shared" si="37"/>
        <v>Brons32mm</v>
      </c>
      <c r="AJ153" t="s">
        <v>121</v>
      </c>
      <c r="AK153" s="19" t="s">
        <v>365</v>
      </c>
      <c r="AL153" s="328" t="s">
        <v>412</v>
      </c>
      <c r="AM153"/>
      <c r="AY153" s="64" t="str">
        <f t="shared" si="38"/>
        <v>6x36 SEStaal (1960 N/m²)4</v>
      </c>
      <c r="AZ153" t="str">
        <f t="shared" ref="AZ153:AZ169" si="40">$AD$152</f>
        <v>6x36 SEStaal (1960 N/m²)</v>
      </c>
      <c r="BA153" s="19">
        <v>4</v>
      </c>
      <c r="BB153" s="356" t="s">
        <v>412</v>
      </c>
      <c r="BC153" s="19"/>
    </row>
    <row r="154" spans="29:55" x14ac:dyDescent="0.25">
      <c r="AC154" s="64" t="str">
        <f t="shared" si="36"/>
        <v>6x36 SEStaal (1960 N/m²)5</v>
      </c>
      <c r="AD154" t="str">
        <f t="shared" si="39"/>
        <v>6x36 SEStaal (1960 N/m²)</v>
      </c>
      <c r="AE154" s="19">
        <v>5</v>
      </c>
      <c r="AF154" s="356" t="s">
        <v>412</v>
      </c>
      <c r="AI154" s="64" t="str">
        <f t="shared" si="37"/>
        <v>Brons36mm</v>
      </c>
      <c r="AJ154" t="s">
        <v>121</v>
      </c>
      <c r="AK154" s="19" t="s">
        <v>366</v>
      </c>
      <c r="AL154" s="328" t="s">
        <v>412</v>
      </c>
      <c r="AM154"/>
      <c r="AY154" s="64" t="str">
        <f t="shared" si="38"/>
        <v>6x36 SEStaal (1960 N/m²)5</v>
      </c>
      <c r="AZ154" t="str">
        <f t="shared" si="40"/>
        <v>6x36 SEStaal (1960 N/m²)</v>
      </c>
      <c r="BA154" s="19">
        <v>5</v>
      </c>
      <c r="BB154" s="356" t="s">
        <v>412</v>
      </c>
      <c r="BC154" s="19"/>
    </row>
    <row r="155" spans="29:55" x14ac:dyDescent="0.25">
      <c r="AC155" s="64" t="str">
        <f t="shared" si="36"/>
        <v>6x36 SEStaal (1960 N/m²)6</v>
      </c>
      <c r="AD155" t="str">
        <f t="shared" si="39"/>
        <v>6x36 SEStaal (1960 N/m²)</v>
      </c>
      <c r="AE155" s="19">
        <v>6</v>
      </c>
      <c r="AF155" s="356" t="s">
        <v>412</v>
      </c>
      <c r="AI155" s="64" t="str">
        <f t="shared" ref="AI155" si="41">+AJ155&amp;AK155</f>
        <v>Brons38mm</v>
      </c>
      <c r="AJ155" t="s">
        <v>121</v>
      </c>
      <c r="AK155" s="19" t="s">
        <v>885</v>
      </c>
      <c r="AL155" s="328" t="s">
        <v>412</v>
      </c>
      <c r="AM155"/>
      <c r="AY155" s="64" t="str">
        <f t="shared" si="38"/>
        <v>6x36 SEStaal (1960 N/m²)6</v>
      </c>
      <c r="AZ155" t="str">
        <f t="shared" si="40"/>
        <v>6x36 SEStaal (1960 N/m²)</v>
      </c>
      <c r="BA155" s="19">
        <v>6</v>
      </c>
      <c r="BB155" s="356" t="s">
        <v>412</v>
      </c>
      <c r="BC155" s="19"/>
    </row>
    <row r="156" spans="29:55" x14ac:dyDescent="0.25">
      <c r="AC156" s="64" t="str">
        <f t="shared" si="36"/>
        <v>6x36 SEStaal (1960 N/m²)7</v>
      </c>
      <c r="AD156" t="str">
        <f t="shared" si="39"/>
        <v>6x36 SEStaal (1960 N/m²)</v>
      </c>
      <c r="AE156" s="19">
        <v>7</v>
      </c>
      <c r="AF156" s="356" t="s">
        <v>412</v>
      </c>
      <c r="AI156" s="64" t="str">
        <f t="shared" ref="AI156:AI174" si="42">+AJ156&amp;AK156</f>
        <v>Brons44mm</v>
      </c>
      <c r="AJ156" t="s">
        <v>121</v>
      </c>
      <c r="AK156" s="19" t="s">
        <v>367</v>
      </c>
      <c r="AL156" s="328" t="s">
        <v>412</v>
      </c>
      <c r="AM156"/>
      <c r="AY156" s="64" t="str">
        <f t="shared" si="38"/>
        <v>6x36 SEStaal (1960 N/m²)7</v>
      </c>
      <c r="AZ156" t="str">
        <f t="shared" si="40"/>
        <v>6x36 SEStaal (1960 N/m²)</v>
      </c>
      <c r="BA156" s="19">
        <v>7</v>
      </c>
      <c r="BB156" s="356" t="s">
        <v>412</v>
      </c>
      <c r="BC156" s="19"/>
    </row>
    <row r="157" spans="29:55" x14ac:dyDescent="0.25">
      <c r="AC157" s="64" t="str">
        <f t="shared" ref="AC157:AC165" si="43">AD157&amp;AE157</f>
        <v>6x36 SEStaal (1960 N/m²)8</v>
      </c>
      <c r="AD157" t="str">
        <f t="shared" si="39"/>
        <v>6x36 SEStaal (1960 N/m²)</v>
      </c>
      <c r="AE157" s="19">
        <v>8</v>
      </c>
      <c r="AF157" s="355">
        <v>44.733599999999996</v>
      </c>
      <c r="AI157" s="64" t="str">
        <f t="shared" si="42"/>
        <v>Brons48mm</v>
      </c>
      <c r="AJ157" t="s">
        <v>121</v>
      </c>
      <c r="AK157" s="19" t="s">
        <v>368</v>
      </c>
      <c r="AL157" s="328" t="s">
        <v>412</v>
      </c>
      <c r="AM157"/>
      <c r="AY157" s="64" t="str">
        <f t="shared" si="38"/>
        <v>6x36 SEStaal (1960 N/m²)8</v>
      </c>
      <c r="AZ157" t="str">
        <f t="shared" si="40"/>
        <v>6x36 SEStaal (1960 N/m²)</v>
      </c>
      <c r="BA157" s="19">
        <v>8</v>
      </c>
      <c r="BB157" s="355">
        <v>44.733599999999996</v>
      </c>
      <c r="BC157" s="19"/>
    </row>
    <row r="158" spans="29:55" x14ac:dyDescent="0.25">
      <c r="AC158" s="64" t="str">
        <f t="shared" si="43"/>
        <v>6x36 SEStaal (1960 N/m²)9</v>
      </c>
      <c r="AD158" t="str">
        <f t="shared" si="39"/>
        <v>6x36 SEStaal (1960 N/m²)</v>
      </c>
      <c r="AE158" s="19">
        <v>9</v>
      </c>
      <c r="AF158" s="356">
        <v>56.505600000000001</v>
      </c>
      <c r="AI158" s="64" t="str">
        <f t="shared" si="42"/>
        <v>Brons50mm</v>
      </c>
      <c r="AJ158" t="s">
        <v>121</v>
      </c>
      <c r="AK158" s="19" t="s">
        <v>886</v>
      </c>
      <c r="AL158" s="328" t="s">
        <v>412</v>
      </c>
      <c r="AM158"/>
      <c r="AY158" s="64" t="str">
        <f t="shared" si="38"/>
        <v>6x36 SEStaal (1960 N/m²)9</v>
      </c>
      <c r="AZ158" t="str">
        <f t="shared" si="40"/>
        <v>6x36 SEStaal (1960 N/m²)</v>
      </c>
      <c r="BA158" s="19">
        <v>9</v>
      </c>
      <c r="BB158" s="356">
        <v>56.505600000000001</v>
      </c>
      <c r="BC158" s="19"/>
    </row>
    <row r="159" spans="29:55" x14ac:dyDescent="0.25">
      <c r="AC159" s="64" t="str">
        <f t="shared" si="43"/>
        <v>6x36 SEStaal (1960 N/m²)10</v>
      </c>
      <c r="AD159" t="str">
        <f t="shared" si="39"/>
        <v>6x36 SEStaal (1960 N/m²)</v>
      </c>
      <c r="AE159" s="19">
        <v>10</v>
      </c>
      <c r="AF159" s="355">
        <v>69.847200000000001</v>
      </c>
      <c r="AI159" s="64" t="str">
        <f t="shared" si="42"/>
        <v>Brons52mm</v>
      </c>
      <c r="AJ159" t="s">
        <v>121</v>
      </c>
      <c r="AK159" s="19" t="s">
        <v>369</v>
      </c>
      <c r="AL159" s="328" t="s">
        <v>412</v>
      </c>
      <c r="AM159"/>
      <c r="AY159" s="64" t="str">
        <f t="shared" si="38"/>
        <v>6x36 SEStaal (1960 N/m²)10</v>
      </c>
      <c r="AZ159" t="str">
        <f t="shared" si="40"/>
        <v>6x36 SEStaal (1960 N/m²)</v>
      </c>
      <c r="BA159" s="19">
        <v>10</v>
      </c>
      <c r="BB159" s="355">
        <v>69.847200000000001</v>
      </c>
      <c r="BC159" s="19"/>
    </row>
    <row r="160" spans="29:55" x14ac:dyDescent="0.25">
      <c r="AC160" s="64" t="str">
        <f t="shared" si="43"/>
        <v>6x36 SEStaal (1960 N/m²)11</v>
      </c>
      <c r="AD160" t="str">
        <f t="shared" si="39"/>
        <v>6x36 SEStaal (1960 N/m²)</v>
      </c>
      <c r="AE160" s="19">
        <v>11</v>
      </c>
      <c r="AF160" s="356">
        <v>84.4</v>
      </c>
      <c r="AI160" s="64" t="str">
        <f t="shared" si="42"/>
        <v>Brons1/4"</v>
      </c>
      <c r="AJ160" t="s">
        <v>121</v>
      </c>
      <c r="AK160" s="309" t="s">
        <v>346</v>
      </c>
      <c r="AL160" s="328" t="s">
        <v>412</v>
      </c>
      <c r="AM160"/>
      <c r="AY160" s="64" t="str">
        <f t="shared" si="38"/>
        <v>6x36 SEStaal (1960 N/m²)11</v>
      </c>
      <c r="AZ160" t="str">
        <f t="shared" si="40"/>
        <v>6x36 SEStaal (1960 N/m²)</v>
      </c>
      <c r="BA160" s="19">
        <v>11</v>
      </c>
      <c r="BB160" s="356">
        <v>84.4</v>
      </c>
      <c r="BC160" s="19"/>
    </row>
    <row r="161" spans="29:55" x14ac:dyDescent="0.25">
      <c r="AC161" s="64" t="str">
        <f t="shared" si="43"/>
        <v>6x36 SEStaal (1960 N/m²)12</v>
      </c>
      <c r="AD161" t="str">
        <f t="shared" si="39"/>
        <v>6x36 SEStaal (1960 N/m²)</v>
      </c>
      <c r="AE161" s="19">
        <v>12</v>
      </c>
      <c r="AF161" s="355">
        <v>100</v>
      </c>
      <c r="AI161" s="64" t="str">
        <f t="shared" si="42"/>
        <v>Brons5/16"</v>
      </c>
      <c r="AJ161" t="s">
        <v>121</v>
      </c>
      <c r="AK161" s="309" t="s">
        <v>347</v>
      </c>
      <c r="AL161" s="326">
        <v>20</v>
      </c>
      <c r="AM161"/>
      <c r="AY161" s="64" t="str">
        <f t="shared" si="38"/>
        <v>6x36 SEStaal (1960 N/m²)12</v>
      </c>
      <c r="AZ161" t="str">
        <f t="shared" si="40"/>
        <v>6x36 SEStaal (1960 N/m²)</v>
      </c>
      <c r="BA161" s="19">
        <v>12</v>
      </c>
      <c r="BB161" s="355">
        <v>100</v>
      </c>
      <c r="BC161" s="19"/>
    </row>
    <row r="162" spans="29:55" x14ac:dyDescent="0.25">
      <c r="AC162" s="64" t="str">
        <f t="shared" si="43"/>
        <v>6x36 SEStaal (1960 N/m²)13</v>
      </c>
      <c r="AD162" t="str">
        <f t="shared" si="39"/>
        <v>6x36 SEStaal (1960 N/m²)</v>
      </c>
      <c r="AE162" s="19">
        <v>13</v>
      </c>
      <c r="AF162" s="356">
        <v>118</v>
      </c>
      <c r="AI162" s="64" t="str">
        <f t="shared" si="42"/>
        <v>Brons3/8"</v>
      </c>
      <c r="AJ162" t="s">
        <v>121</v>
      </c>
      <c r="AK162" s="310" t="s">
        <v>348</v>
      </c>
      <c r="AL162" s="326">
        <v>29.5</v>
      </c>
      <c r="AM162"/>
      <c r="AY162" s="64" t="str">
        <f t="shared" si="38"/>
        <v>6x36 SEStaal (1960 N/m²)13</v>
      </c>
      <c r="AZ162" t="str">
        <f t="shared" si="40"/>
        <v>6x36 SEStaal (1960 N/m²)</v>
      </c>
      <c r="BA162" s="19">
        <v>13</v>
      </c>
      <c r="BB162" s="356">
        <v>118</v>
      </c>
      <c r="BC162" s="19"/>
    </row>
    <row r="163" spans="29:55" x14ac:dyDescent="0.25">
      <c r="AC163" s="64" t="str">
        <f t="shared" si="43"/>
        <v>6x36 SEStaal (1960 N/m²)14</v>
      </c>
      <c r="AD163" t="str">
        <f t="shared" si="39"/>
        <v>6x36 SEStaal (1960 N/m²)</v>
      </c>
      <c r="AE163" s="19">
        <v>14</v>
      </c>
      <c r="AF163" s="355">
        <v>137</v>
      </c>
      <c r="AI163" s="64" t="str">
        <f t="shared" si="42"/>
        <v>Brons7/16"</v>
      </c>
      <c r="AJ163" t="s">
        <v>121</v>
      </c>
      <c r="AK163" s="310" t="s">
        <v>349</v>
      </c>
      <c r="AL163" s="328" t="s">
        <v>412</v>
      </c>
      <c r="AM163"/>
      <c r="AY163" s="64" t="str">
        <f t="shared" si="38"/>
        <v>6x36 SEStaal (1960 N/m²)14</v>
      </c>
      <c r="AZ163" t="str">
        <f t="shared" si="40"/>
        <v>6x36 SEStaal (1960 N/m²)</v>
      </c>
      <c r="BA163" s="19">
        <v>14</v>
      </c>
      <c r="BB163" s="355">
        <v>137</v>
      </c>
      <c r="BC163" s="19"/>
    </row>
    <row r="164" spans="29:55" x14ac:dyDescent="0.25">
      <c r="AC164" s="64" t="str">
        <f t="shared" si="43"/>
        <v>6x36 SEStaal (1960 N/m²)15</v>
      </c>
      <c r="AD164" t="str">
        <f t="shared" si="39"/>
        <v>6x36 SEStaal (1960 N/m²)</v>
      </c>
      <c r="AE164" s="19">
        <v>15</v>
      </c>
      <c r="AF164" s="356">
        <v>156.96</v>
      </c>
      <c r="AI164" s="64" t="str">
        <f t="shared" si="42"/>
        <v>Brons1/2"</v>
      </c>
      <c r="AJ164" t="s">
        <v>121</v>
      </c>
      <c r="AK164" s="310" t="s">
        <v>350</v>
      </c>
      <c r="AL164" s="328" t="s">
        <v>412</v>
      </c>
      <c r="AM164"/>
      <c r="AY164" s="64" t="str">
        <f t="shared" si="38"/>
        <v>6x36 SEStaal (1960 N/m²)15</v>
      </c>
      <c r="AZ164" t="str">
        <f t="shared" si="40"/>
        <v>6x36 SEStaal (1960 N/m²)</v>
      </c>
      <c r="BA164" s="19">
        <v>15</v>
      </c>
      <c r="BB164" s="356">
        <v>156.96</v>
      </c>
      <c r="BC164" s="19"/>
    </row>
    <row r="165" spans="29:55" x14ac:dyDescent="0.25">
      <c r="AC165" s="64" t="str">
        <f t="shared" si="43"/>
        <v>6x36 SEStaal (1960 N/m²)16</v>
      </c>
      <c r="AD165" t="str">
        <f t="shared" si="39"/>
        <v>6x36 SEStaal (1960 N/m²)</v>
      </c>
      <c r="AE165" s="19">
        <v>16</v>
      </c>
      <c r="AF165" s="355">
        <v>179</v>
      </c>
      <c r="AI165" s="64" t="str">
        <f t="shared" si="42"/>
        <v>Brons5/8"</v>
      </c>
      <c r="AJ165" t="s">
        <v>121</v>
      </c>
      <c r="AK165" s="310" t="s">
        <v>351</v>
      </c>
      <c r="AL165" s="326">
        <v>100</v>
      </c>
      <c r="AM165"/>
      <c r="AY165" s="64" t="str">
        <f t="shared" si="38"/>
        <v>6x36 SEStaal (1960 N/m²)16</v>
      </c>
      <c r="AZ165" t="str">
        <f t="shared" si="40"/>
        <v>6x36 SEStaal (1960 N/m²)</v>
      </c>
      <c r="BA165" s="19">
        <v>16</v>
      </c>
      <c r="BB165" s="355">
        <v>179</v>
      </c>
      <c r="BC165" s="19"/>
    </row>
    <row r="166" spans="29:55" x14ac:dyDescent="0.25">
      <c r="AC166" s="64" t="str">
        <f t="shared" ref="AC166:AC174" si="44">AD166&amp;AE166</f>
        <v>6x36 SEStaal (1960 N/m²)17</v>
      </c>
      <c r="AD166" t="str">
        <f t="shared" si="39"/>
        <v>6x36 SEStaal (1960 N/m²)</v>
      </c>
      <c r="AE166" s="19">
        <v>17</v>
      </c>
      <c r="AF166" s="356" t="s">
        <v>412</v>
      </c>
      <c r="AI166" s="64" t="str">
        <f t="shared" si="42"/>
        <v>Brons3/4"</v>
      </c>
      <c r="AJ166" t="s">
        <v>121</v>
      </c>
      <c r="AK166" s="310" t="s">
        <v>352</v>
      </c>
      <c r="AL166" s="326">
        <v>131</v>
      </c>
      <c r="AM166"/>
      <c r="AY166" s="64" t="str">
        <f t="shared" si="38"/>
        <v>6x36 SEStaal (1960 N/m²)17</v>
      </c>
      <c r="AZ166" t="str">
        <f t="shared" si="40"/>
        <v>6x36 SEStaal (1960 N/m²)</v>
      </c>
      <c r="BA166" s="19">
        <v>17</v>
      </c>
      <c r="BB166" s="356" t="s">
        <v>412</v>
      </c>
      <c r="BC166" s="19"/>
    </row>
    <row r="167" spans="29:55" x14ac:dyDescent="0.25">
      <c r="AC167" s="64" t="str">
        <f t="shared" si="44"/>
        <v>6x36 SEStaal (1960 N/m²)18</v>
      </c>
      <c r="AD167" t="str">
        <f t="shared" si="39"/>
        <v>6x36 SEStaal (1960 N/m²)</v>
      </c>
      <c r="AE167" s="19">
        <v>18</v>
      </c>
      <c r="AF167" s="355">
        <v>226</v>
      </c>
      <c r="AI167" s="64" t="str">
        <f t="shared" si="42"/>
        <v>Brons7/8"</v>
      </c>
      <c r="AJ167" t="s">
        <v>121</v>
      </c>
      <c r="AK167" s="310" t="s">
        <v>353</v>
      </c>
      <c r="AL167" s="328" t="s">
        <v>412</v>
      </c>
      <c r="AM167"/>
      <c r="AY167" s="64" t="str">
        <f t="shared" si="38"/>
        <v>6x36 SEStaal (1960 N/m²)18</v>
      </c>
      <c r="AZ167" t="str">
        <f t="shared" si="40"/>
        <v>6x36 SEStaal (1960 N/m²)</v>
      </c>
      <c r="BA167" s="19">
        <v>18</v>
      </c>
      <c r="BB167" s="355">
        <v>226</v>
      </c>
      <c r="BC167" s="19"/>
    </row>
    <row r="168" spans="29:55" x14ac:dyDescent="0.25">
      <c r="AC168" s="64" t="str">
        <f t="shared" si="44"/>
        <v>6x36 SEStaal (1960 N/m²)19</v>
      </c>
      <c r="AD168" t="str">
        <f t="shared" si="39"/>
        <v>6x36 SEStaal (1960 N/m²)</v>
      </c>
      <c r="AE168" s="19">
        <v>19</v>
      </c>
      <c r="AF168" s="356">
        <v>252</v>
      </c>
      <c r="AI168" s="64" t="str">
        <f t="shared" si="42"/>
        <v>Brons1"</v>
      </c>
      <c r="AJ168" t="s">
        <v>121</v>
      </c>
      <c r="AK168" s="310" t="s">
        <v>354</v>
      </c>
      <c r="AL168" s="326">
        <v>204</v>
      </c>
      <c r="AM168"/>
      <c r="AY168" s="64" t="str">
        <f t="shared" si="38"/>
        <v>6x36 SEStaal (1960 N/m²)19</v>
      </c>
      <c r="AZ168" t="str">
        <f t="shared" si="40"/>
        <v>6x36 SEStaal (1960 N/m²)</v>
      </c>
      <c r="BA168" s="19">
        <v>19</v>
      </c>
      <c r="BB168" s="356">
        <v>252</v>
      </c>
      <c r="BC168" s="19"/>
    </row>
    <row r="169" spans="29:55" x14ac:dyDescent="0.25">
      <c r="AC169" s="64" t="str">
        <f t="shared" si="44"/>
        <v>6x36 SEStaal (1960 N/m²)20</v>
      </c>
      <c r="AD169" t="str">
        <f t="shared" si="39"/>
        <v>6x36 SEStaal (1960 N/m²)</v>
      </c>
      <c r="AE169" s="19">
        <v>20</v>
      </c>
      <c r="AF169" s="355">
        <v>279</v>
      </c>
      <c r="AI169" s="64" t="str">
        <f t="shared" si="42"/>
        <v>Brons1 1/8"</v>
      </c>
      <c r="AJ169" t="s">
        <v>121</v>
      </c>
      <c r="AK169" s="310" t="s">
        <v>355</v>
      </c>
      <c r="AL169" s="316" t="s">
        <v>412</v>
      </c>
      <c r="AM169"/>
      <c r="AY169" s="64" t="str">
        <f t="shared" si="38"/>
        <v>6x36 SEStaal (1960 N/m²)20</v>
      </c>
      <c r="AZ169" t="str">
        <f t="shared" si="40"/>
        <v>6x36 SEStaal (1960 N/m²)</v>
      </c>
      <c r="BA169" s="19">
        <v>20</v>
      </c>
      <c r="BB169" s="355">
        <v>279</v>
      </c>
      <c r="BC169" s="19"/>
    </row>
    <row r="170" spans="29:55" x14ac:dyDescent="0.25">
      <c r="AC170" s="64" t="str">
        <f t="shared" si="44"/>
        <v>6x36 SEStaal (1960 N/m²)22</v>
      </c>
      <c r="AD170" t="str">
        <f>$AD$152</f>
        <v>6x36 SEStaal (1960 N/m²)</v>
      </c>
      <c r="AE170" s="19">
        <v>22</v>
      </c>
      <c r="AF170" s="356">
        <v>338</v>
      </c>
      <c r="AI170" s="64" t="str">
        <f t="shared" si="42"/>
        <v>Brons1 1/4"</v>
      </c>
      <c r="AJ170" t="s">
        <v>121</v>
      </c>
      <c r="AK170" s="310" t="s">
        <v>356</v>
      </c>
      <c r="AL170" s="316" t="s">
        <v>412</v>
      </c>
      <c r="AM170"/>
      <c r="AY170" s="64" t="str">
        <f t="shared" si="38"/>
        <v>6x36 SEStaal (1960 N/m²)22</v>
      </c>
      <c r="AZ170" t="str">
        <f>$AD$152</f>
        <v>6x36 SEStaal (1960 N/m²)</v>
      </c>
      <c r="BA170" s="19">
        <v>22</v>
      </c>
      <c r="BB170" s="356">
        <v>338</v>
      </c>
      <c r="BC170" s="19"/>
    </row>
    <row r="171" spans="29:55" x14ac:dyDescent="0.25">
      <c r="AC171" s="64" t="str">
        <f t="shared" si="44"/>
        <v>6x36 SEStaal (1960 N/m²)24</v>
      </c>
      <c r="AD171" t="str">
        <f>$AD$152</f>
        <v>6x36 SEStaal (1960 N/m²)</v>
      </c>
      <c r="AE171" s="19">
        <v>24</v>
      </c>
      <c r="AF171" s="356">
        <v>402</v>
      </c>
      <c r="AI171" s="64" t="str">
        <f t="shared" si="42"/>
        <v>Brons1 1/2"</v>
      </c>
      <c r="AJ171" t="s">
        <v>121</v>
      </c>
      <c r="AK171" s="310" t="s">
        <v>357</v>
      </c>
      <c r="AL171" s="316" t="s">
        <v>412</v>
      </c>
      <c r="AM171"/>
      <c r="AY171" s="64" t="str">
        <f t="shared" si="38"/>
        <v>6x36 SEStaal (1960 N/m²)24</v>
      </c>
      <c r="AZ171" t="str">
        <f>$AD$152</f>
        <v>6x36 SEStaal (1960 N/m²)</v>
      </c>
      <c r="BA171" s="19">
        <v>24</v>
      </c>
      <c r="BB171" s="356">
        <v>402</v>
      </c>
      <c r="BC171" s="19"/>
    </row>
    <row r="172" spans="29:55" x14ac:dyDescent="0.25">
      <c r="AC172" s="64" t="str">
        <f t="shared" si="44"/>
        <v>6x36 SEStaal (1960 N/m²)26</v>
      </c>
      <c r="AD172" t="str">
        <f>$AD$152</f>
        <v>6x36 SEStaal (1960 N/m²)</v>
      </c>
      <c r="AE172" s="19">
        <v>26</v>
      </c>
      <c r="AF172" s="356">
        <v>472</v>
      </c>
      <c r="AI172" s="64" t="str">
        <f t="shared" si="42"/>
        <v>Brons1 3/4"</v>
      </c>
      <c r="AJ172" t="s">
        <v>121</v>
      </c>
      <c r="AK172" s="310" t="s">
        <v>358</v>
      </c>
      <c r="AL172" s="316" t="s">
        <v>412</v>
      </c>
      <c r="AM172"/>
      <c r="AY172" s="64" t="str">
        <f t="shared" si="38"/>
        <v>6x36 SEStaal (1960 N/m²)26</v>
      </c>
      <c r="AZ172" t="str">
        <f>$AD$152</f>
        <v>6x36 SEStaal (1960 N/m²)</v>
      </c>
      <c r="BA172" s="19">
        <v>26</v>
      </c>
      <c r="BB172" s="356">
        <v>472</v>
      </c>
      <c r="BC172" s="19"/>
    </row>
    <row r="173" spans="29:55" x14ac:dyDescent="0.25">
      <c r="AC173" s="64" t="str">
        <f t="shared" si="44"/>
        <v>6x36 SEStaal (1960 N/m²)28</v>
      </c>
      <c r="AD173" t="str">
        <f>$AD$152</f>
        <v>6x36 SEStaal (1960 N/m²)</v>
      </c>
      <c r="AE173" s="19">
        <v>28</v>
      </c>
      <c r="AF173" s="356">
        <v>547</v>
      </c>
      <c r="AI173" s="64" t="str">
        <f t="shared" si="42"/>
        <v>Brons2"</v>
      </c>
      <c r="AJ173" s="312" t="s">
        <v>121</v>
      </c>
      <c r="AK173" s="310" t="s">
        <v>359</v>
      </c>
      <c r="AL173" s="316" t="s">
        <v>412</v>
      </c>
      <c r="AM173"/>
      <c r="AY173" s="64" t="str">
        <f t="shared" si="38"/>
        <v>6x36 SEStaal (1960 N/m²)28</v>
      </c>
      <c r="AZ173" t="str">
        <f>$AD$152</f>
        <v>6x36 SEStaal (1960 N/m²)</v>
      </c>
      <c r="BA173" s="19">
        <v>28</v>
      </c>
      <c r="BB173" s="356">
        <v>547</v>
      </c>
      <c r="BC173" s="19"/>
    </row>
    <row r="174" spans="29:55" x14ac:dyDescent="0.25">
      <c r="AC174" s="64" t="str">
        <f t="shared" si="44"/>
        <v>6x36 SEStaal (1960 N/m²)30</v>
      </c>
      <c r="AD174" t="str">
        <f>$AD$152</f>
        <v>6x36 SEStaal (1960 N/m²)</v>
      </c>
      <c r="AE174" s="379">
        <v>30</v>
      </c>
      <c r="AF174" s="356">
        <v>628</v>
      </c>
      <c r="AI174" s="62" t="str">
        <f t="shared" si="42"/>
        <v>Spunflex8mm</v>
      </c>
      <c r="AJ174" s="66" t="s">
        <v>112</v>
      </c>
      <c r="AK174" s="63" t="s">
        <v>607</v>
      </c>
      <c r="AL174" s="329">
        <f>960/100</f>
        <v>9.6</v>
      </c>
      <c r="AM174"/>
      <c r="AY174" s="64" t="str">
        <f t="shared" si="38"/>
        <v>6x36 SEStaal (1960 N/m²)30</v>
      </c>
      <c r="AZ174" t="str">
        <f>$AD$152</f>
        <v>6x36 SEStaal (1960 N/m²)</v>
      </c>
      <c r="BA174" s="379">
        <v>30</v>
      </c>
      <c r="BB174" s="356">
        <v>628</v>
      </c>
      <c r="BC174" s="19"/>
    </row>
    <row r="175" spans="29:55" x14ac:dyDescent="0.25">
      <c r="AC175" s="373" t="str">
        <f t="shared" ref="AC175:AC182" si="45">AD175&amp;AE175</f>
        <v>6x19 FEStaal (1770 N/m²)3</v>
      </c>
      <c r="AD175" s="374" t="str">
        <f>AD10&amp;AC4</f>
        <v>6x19 FEStaal (1770 N/m²)</v>
      </c>
      <c r="AE175" s="63">
        <v>3</v>
      </c>
      <c r="AF175" s="375">
        <v>4.8951900000000004</v>
      </c>
      <c r="AI175" s="64" t="str">
        <f t="shared" ref="AI175:AI183" si="46">+AJ175&amp;AK175</f>
        <v>Spunflex10mm</v>
      </c>
      <c r="AJ175" t="s">
        <v>112</v>
      </c>
      <c r="AK175" s="19" t="s">
        <v>606</v>
      </c>
      <c r="AL175" s="327">
        <v>14.3</v>
      </c>
      <c r="AM175"/>
      <c r="AY175" s="373" t="str">
        <f t="shared" si="38"/>
        <v>6x19 FEStaal (1770 N/m²)3</v>
      </c>
      <c r="AZ175" s="374" t="str">
        <f>AZ9&amp;AY4</f>
        <v>6x19 FEStaal (1770 N/m²)</v>
      </c>
      <c r="BA175" s="63">
        <v>3</v>
      </c>
      <c r="BB175" s="375">
        <v>4.8951900000000004</v>
      </c>
      <c r="BC175" s="63"/>
    </row>
    <row r="176" spans="29:55" x14ac:dyDescent="0.25">
      <c r="AC176" s="64" t="str">
        <f t="shared" si="45"/>
        <v>6x19 FEStaal (1770 N/m²)4</v>
      </c>
      <c r="AD176" t="str">
        <f t="shared" ref="AD176:AD192" si="47">$AD$175</f>
        <v>6x19 FEStaal (1770 N/m²)</v>
      </c>
      <c r="AE176" s="19">
        <v>4</v>
      </c>
      <c r="AF176" s="356">
        <v>8.7014700000000005</v>
      </c>
      <c r="AI176" s="64" t="str">
        <f t="shared" si="46"/>
        <v>Spunflex12mm</v>
      </c>
      <c r="AJ176" t="s">
        <v>112</v>
      </c>
      <c r="AK176" s="19" t="s">
        <v>605</v>
      </c>
      <c r="AL176" s="327">
        <v>20.3</v>
      </c>
      <c r="AM176"/>
      <c r="AY176" s="64" t="str">
        <f t="shared" si="38"/>
        <v>6x19 FEStaal (1770 N/m²)4</v>
      </c>
      <c r="AZ176" t="str">
        <f t="shared" ref="AZ176:AZ192" si="48">$AD$175</f>
        <v>6x19 FEStaal (1770 N/m²)</v>
      </c>
      <c r="BA176" s="19">
        <v>4</v>
      </c>
      <c r="BB176" s="356">
        <v>8.7014700000000005</v>
      </c>
      <c r="BC176" s="19"/>
    </row>
    <row r="177" spans="29:55" x14ac:dyDescent="0.25">
      <c r="AC177" s="64" t="str">
        <f t="shared" si="45"/>
        <v>6x19 FEStaal (1770 N/m²)5</v>
      </c>
      <c r="AD177" t="str">
        <f t="shared" si="47"/>
        <v>6x19 FEStaal (1770 N/m²)</v>
      </c>
      <c r="AE177" s="19">
        <v>5</v>
      </c>
      <c r="AF177" s="356">
        <v>13.635899999999999</v>
      </c>
      <c r="AI177" s="64" t="str">
        <f t="shared" si="46"/>
        <v>Spunflex14mm</v>
      </c>
      <c r="AJ177" t="s">
        <v>112</v>
      </c>
      <c r="AK177" s="19" t="s">
        <v>604</v>
      </c>
      <c r="AL177" s="327">
        <v>27.9</v>
      </c>
      <c r="AM177"/>
      <c r="AY177" s="64" t="str">
        <f t="shared" si="38"/>
        <v>6x19 FEStaal (1770 N/m²)5</v>
      </c>
      <c r="AZ177" t="str">
        <f t="shared" si="48"/>
        <v>6x19 FEStaal (1770 N/m²)</v>
      </c>
      <c r="BA177" s="19">
        <v>5</v>
      </c>
      <c r="BB177" s="356">
        <v>13.635899999999999</v>
      </c>
      <c r="BC177" s="19"/>
    </row>
    <row r="178" spans="29:55" x14ac:dyDescent="0.25">
      <c r="AC178" s="64" t="str">
        <f t="shared" si="45"/>
        <v>6x19 FEStaal (1770 N/m²)6</v>
      </c>
      <c r="AD178" t="str">
        <f t="shared" si="47"/>
        <v>6x19 FEStaal (1770 N/m²)</v>
      </c>
      <c r="AE178" s="19">
        <v>6</v>
      </c>
      <c r="AF178" s="356">
        <v>19.62</v>
      </c>
      <c r="AI178" s="64" t="str">
        <f t="shared" si="46"/>
        <v>Spunflex16mm</v>
      </c>
      <c r="AJ178" t="s">
        <v>112</v>
      </c>
      <c r="AK178" s="19" t="s">
        <v>603</v>
      </c>
      <c r="AL178" s="327">
        <v>35</v>
      </c>
      <c r="AM178"/>
      <c r="AY178" s="64" t="str">
        <f t="shared" si="38"/>
        <v>6x19 FEStaal (1770 N/m²)6</v>
      </c>
      <c r="AZ178" t="str">
        <f t="shared" si="48"/>
        <v>6x19 FEStaal (1770 N/m²)</v>
      </c>
      <c r="BA178" s="19">
        <v>6</v>
      </c>
      <c r="BB178" s="356">
        <v>19.62</v>
      </c>
      <c r="BC178" s="19"/>
    </row>
    <row r="179" spans="29:55" x14ac:dyDescent="0.25">
      <c r="AC179" s="64" t="str">
        <f t="shared" si="45"/>
        <v>6x19 FEStaal (1770 N/m²)7</v>
      </c>
      <c r="AD179" t="str">
        <f t="shared" si="47"/>
        <v>6x19 FEStaal (1770 N/m²)</v>
      </c>
      <c r="AE179" s="19">
        <v>7</v>
      </c>
      <c r="AF179" s="356" t="s">
        <v>407</v>
      </c>
      <c r="AI179" s="64" t="str">
        <f t="shared" si="46"/>
        <v>Spunflex18mm</v>
      </c>
      <c r="AJ179" t="s">
        <v>112</v>
      </c>
      <c r="AK179" s="19" t="s">
        <v>360</v>
      </c>
      <c r="AL179" s="327">
        <v>45</v>
      </c>
      <c r="AM179"/>
      <c r="AY179" s="64" t="str">
        <f t="shared" si="38"/>
        <v>6x19 FEStaal (1770 N/m²)7</v>
      </c>
      <c r="AZ179" t="str">
        <f t="shared" si="48"/>
        <v>6x19 FEStaal (1770 N/m²)</v>
      </c>
      <c r="BA179" s="19">
        <v>7</v>
      </c>
      <c r="BB179" s="356" t="s">
        <v>407</v>
      </c>
      <c r="BC179" s="19"/>
    </row>
    <row r="180" spans="29:55" x14ac:dyDescent="0.25">
      <c r="AC180" s="64" t="str">
        <f t="shared" si="45"/>
        <v>6x19 FEStaal (1770 N/m²)8</v>
      </c>
      <c r="AD180" t="str">
        <f t="shared" si="47"/>
        <v>6x19 FEStaal (1770 N/m²)</v>
      </c>
      <c r="AE180" s="19">
        <v>8</v>
      </c>
      <c r="AF180" s="355">
        <v>34.825499999999998</v>
      </c>
      <c r="AI180" s="64" t="str">
        <f t="shared" si="46"/>
        <v>Spunflex19mm</v>
      </c>
      <c r="AJ180" t="s">
        <v>112</v>
      </c>
      <c r="AK180" s="19" t="s">
        <v>624</v>
      </c>
      <c r="AL180" s="328" t="s">
        <v>412</v>
      </c>
      <c r="AM180"/>
      <c r="AY180" s="64" t="str">
        <f t="shared" si="38"/>
        <v>6x19 FEStaal (1770 N/m²)8</v>
      </c>
      <c r="AZ180" t="str">
        <f t="shared" si="48"/>
        <v>6x19 FEStaal (1770 N/m²)</v>
      </c>
      <c r="BA180" s="19">
        <v>8</v>
      </c>
      <c r="BB180" s="355">
        <v>34.825499999999998</v>
      </c>
      <c r="BC180" s="19"/>
    </row>
    <row r="181" spans="29:55" x14ac:dyDescent="0.25">
      <c r="AC181" s="64" t="str">
        <f t="shared" si="45"/>
        <v>6x19 FEStaal (1770 N/m²)9</v>
      </c>
      <c r="AD181" t="str">
        <f t="shared" si="47"/>
        <v>6x19 FEStaal (1770 N/m²)</v>
      </c>
      <c r="AE181" s="19">
        <v>9</v>
      </c>
      <c r="AF181" s="356" t="s">
        <v>407</v>
      </c>
      <c r="AI181" s="64" t="str">
        <f t="shared" si="46"/>
        <v>Spunflex20mm</v>
      </c>
      <c r="AJ181" t="s">
        <v>112</v>
      </c>
      <c r="AK181" s="19" t="s">
        <v>623</v>
      </c>
      <c r="AL181" s="328">
        <v>55</v>
      </c>
      <c r="AM181"/>
      <c r="AY181" s="64" t="str">
        <f t="shared" si="38"/>
        <v>6x19 FEStaal (1770 N/m²)9</v>
      </c>
      <c r="AZ181" t="str">
        <f t="shared" si="48"/>
        <v>6x19 FEStaal (1770 N/m²)</v>
      </c>
      <c r="BA181" s="19">
        <v>9</v>
      </c>
      <c r="BB181" s="356" t="s">
        <v>407</v>
      </c>
      <c r="BC181" s="19"/>
    </row>
    <row r="182" spans="29:55" x14ac:dyDescent="0.25">
      <c r="AC182" s="64" t="str">
        <f t="shared" si="45"/>
        <v>6x19 FEStaal (1770 N/m²)10</v>
      </c>
      <c r="AD182" t="str">
        <f t="shared" si="47"/>
        <v>6x19 FEStaal (1770 N/m²)</v>
      </c>
      <c r="AE182" s="19">
        <v>10</v>
      </c>
      <c r="AF182" s="355">
        <v>54.445500000000003</v>
      </c>
      <c r="AI182" s="64" t="str">
        <f t="shared" si="46"/>
        <v>Spunflex22mm</v>
      </c>
      <c r="AJ182" t="s">
        <v>112</v>
      </c>
      <c r="AK182" s="19" t="s">
        <v>361</v>
      </c>
      <c r="AL182" s="328">
        <v>67</v>
      </c>
      <c r="AM182"/>
      <c r="AY182" s="64" t="str">
        <f t="shared" si="38"/>
        <v>6x19 FEStaal (1770 N/m²)10</v>
      </c>
      <c r="AZ182" t="str">
        <f t="shared" si="48"/>
        <v>6x19 FEStaal (1770 N/m²)</v>
      </c>
      <c r="BA182" s="19">
        <v>10</v>
      </c>
      <c r="BB182" s="355">
        <v>54.445500000000003</v>
      </c>
      <c r="BC182" s="19"/>
    </row>
    <row r="183" spans="29:55" x14ac:dyDescent="0.25">
      <c r="AC183" s="64" t="str">
        <f t="shared" ref="AC183:AC188" si="49">AD183&amp;AE183</f>
        <v>6x19 FEStaal (1770 N/m²)11</v>
      </c>
      <c r="AD183" t="str">
        <f t="shared" si="47"/>
        <v>6x19 FEStaal (1770 N/m²)</v>
      </c>
      <c r="AE183" s="19">
        <v>11</v>
      </c>
      <c r="AF183" s="356" t="s">
        <v>412</v>
      </c>
      <c r="AI183" s="64" t="str">
        <f t="shared" si="46"/>
        <v>Spunflex24mm</v>
      </c>
      <c r="AJ183" t="s">
        <v>112</v>
      </c>
      <c r="AK183" s="19" t="s">
        <v>362</v>
      </c>
      <c r="AL183" s="328">
        <v>75</v>
      </c>
      <c r="AM183"/>
      <c r="AY183" s="64" t="str">
        <f t="shared" si="38"/>
        <v>6x19 FEStaal (1770 N/m²)11</v>
      </c>
      <c r="AZ183" t="str">
        <f t="shared" si="48"/>
        <v>6x19 FEStaal (1770 N/m²)</v>
      </c>
      <c r="BA183" s="19">
        <v>11</v>
      </c>
      <c r="BB183" s="356" t="s">
        <v>412</v>
      </c>
      <c r="BC183" s="19"/>
    </row>
    <row r="184" spans="29:55" x14ac:dyDescent="0.25">
      <c r="AC184" s="64" t="str">
        <f t="shared" si="49"/>
        <v>6x19 FEStaal (1770 N/m²)12</v>
      </c>
      <c r="AD184" t="str">
        <f t="shared" si="47"/>
        <v>6x19 FEStaal (1770 N/m²)</v>
      </c>
      <c r="AE184" s="19">
        <v>12</v>
      </c>
      <c r="AF184" s="355">
        <v>78.283800000000014</v>
      </c>
      <c r="AI184" s="64" t="str">
        <f>+AJ184&amp;AK184</f>
        <v>Spunflex26mm</v>
      </c>
      <c r="AJ184" t="s">
        <v>112</v>
      </c>
      <c r="AK184" s="310" t="s">
        <v>629</v>
      </c>
      <c r="AL184" s="328">
        <v>89</v>
      </c>
      <c r="AM184"/>
      <c r="AY184" s="64" t="str">
        <f t="shared" si="38"/>
        <v>6x19 FEStaal (1770 N/m²)12</v>
      </c>
      <c r="AZ184" t="str">
        <f t="shared" si="48"/>
        <v>6x19 FEStaal (1770 N/m²)</v>
      </c>
      <c r="BA184" s="19">
        <v>12</v>
      </c>
      <c r="BB184" s="355">
        <v>78.283800000000014</v>
      </c>
      <c r="BC184" s="19"/>
    </row>
    <row r="185" spans="29:55" x14ac:dyDescent="0.25">
      <c r="AC185" s="64" t="str">
        <f t="shared" si="49"/>
        <v>6x19 FEStaal (1770 N/m²)13</v>
      </c>
      <c r="AD185" t="str">
        <f t="shared" si="47"/>
        <v>6x19 FEStaal (1770 N/m²)</v>
      </c>
      <c r="AE185" s="19">
        <v>13</v>
      </c>
      <c r="AF185" s="356" t="s">
        <v>412</v>
      </c>
      <c r="AI185" s="64" t="str">
        <f t="shared" ref="AI185:AI188" si="50">+AJ185&amp;AK185</f>
        <v>Spunflex28mm</v>
      </c>
      <c r="AJ185" t="s">
        <v>112</v>
      </c>
      <c r="AK185" s="19" t="s">
        <v>363</v>
      </c>
      <c r="AL185" s="328">
        <v>101</v>
      </c>
      <c r="AM185"/>
      <c r="AY185" s="64" t="str">
        <f t="shared" si="38"/>
        <v>6x19 FEStaal (1770 N/m²)13</v>
      </c>
      <c r="AZ185" t="str">
        <f t="shared" si="48"/>
        <v>6x19 FEStaal (1770 N/m²)</v>
      </c>
      <c r="BA185" s="19">
        <v>13</v>
      </c>
      <c r="BB185" s="356" t="s">
        <v>412</v>
      </c>
      <c r="BC185" s="19"/>
    </row>
    <row r="186" spans="29:55" x14ac:dyDescent="0.25">
      <c r="AC186" s="64" t="str">
        <f t="shared" si="49"/>
        <v>6x19 FEStaal (1770 N/m²)14</v>
      </c>
      <c r="AD186" t="str">
        <f t="shared" si="47"/>
        <v>6x19 FEStaal (1770 N/m²)</v>
      </c>
      <c r="AE186" s="19">
        <v>14</v>
      </c>
      <c r="AF186" s="355" t="s">
        <v>412</v>
      </c>
      <c r="AI186" s="64" t="str">
        <f t="shared" si="50"/>
        <v>Spunflex30mm</v>
      </c>
      <c r="AJ186" t="s">
        <v>112</v>
      </c>
      <c r="AK186" s="19" t="s">
        <v>364</v>
      </c>
      <c r="AL186" s="328" t="s">
        <v>412</v>
      </c>
      <c r="AM186"/>
      <c r="AY186" s="64" t="str">
        <f t="shared" si="38"/>
        <v>6x19 FEStaal (1770 N/m²)14</v>
      </c>
      <c r="AZ186" t="str">
        <f t="shared" si="48"/>
        <v>6x19 FEStaal (1770 N/m²)</v>
      </c>
      <c r="BA186" s="19">
        <v>14</v>
      </c>
      <c r="BB186" s="355" t="s">
        <v>412</v>
      </c>
      <c r="BC186" s="19"/>
    </row>
    <row r="187" spans="29:55" x14ac:dyDescent="0.25">
      <c r="AC187" s="64" t="str">
        <f t="shared" si="49"/>
        <v>6x19 FEStaal (1770 N/m²)15</v>
      </c>
      <c r="AD187" t="str">
        <f t="shared" si="47"/>
        <v>6x19 FEStaal (1770 N/m²)</v>
      </c>
      <c r="AE187" s="19">
        <v>15</v>
      </c>
      <c r="AF187" s="356" t="s">
        <v>412</v>
      </c>
      <c r="AI187" s="64" t="str">
        <f t="shared" si="50"/>
        <v>Spunflex32mm</v>
      </c>
      <c r="AJ187" t="s">
        <v>112</v>
      </c>
      <c r="AK187" s="19" t="s">
        <v>365</v>
      </c>
      <c r="AL187" s="328">
        <v>110</v>
      </c>
      <c r="AM187"/>
      <c r="AY187" s="64" t="str">
        <f t="shared" si="38"/>
        <v>6x19 FEStaal (1770 N/m²)15</v>
      </c>
      <c r="AZ187" t="str">
        <f t="shared" si="48"/>
        <v>6x19 FEStaal (1770 N/m²)</v>
      </c>
      <c r="BA187" s="19">
        <v>15</v>
      </c>
      <c r="BB187" s="356" t="s">
        <v>412</v>
      </c>
      <c r="BC187" s="19"/>
    </row>
    <row r="188" spans="29:55" x14ac:dyDescent="0.25">
      <c r="AC188" s="64" t="str">
        <f t="shared" si="49"/>
        <v>6x19 FEStaal (1770 N/m²)16</v>
      </c>
      <c r="AD188" t="str">
        <f t="shared" si="47"/>
        <v>6x19 FEStaal (1770 N/m²)</v>
      </c>
      <c r="AE188" s="19">
        <v>16</v>
      </c>
      <c r="AF188" s="355">
        <v>139.30199999999999</v>
      </c>
      <c r="AI188" s="64" t="str">
        <f t="shared" si="50"/>
        <v>Spunflex36mm</v>
      </c>
      <c r="AJ188" t="s">
        <v>112</v>
      </c>
      <c r="AK188" s="19" t="s">
        <v>366</v>
      </c>
      <c r="AL188" s="316" t="s">
        <v>412</v>
      </c>
      <c r="AM188"/>
      <c r="AY188" s="64" t="str">
        <f t="shared" si="38"/>
        <v>6x19 FEStaal (1770 N/m²)16</v>
      </c>
      <c r="AZ188" t="str">
        <f t="shared" si="48"/>
        <v>6x19 FEStaal (1770 N/m²)</v>
      </c>
      <c r="BA188" s="19">
        <v>16</v>
      </c>
      <c r="BB188" s="355">
        <v>139.30199999999999</v>
      </c>
      <c r="BC188" s="19"/>
    </row>
    <row r="189" spans="29:55" x14ac:dyDescent="0.25">
      <c r="AC189" s="64" t="str">
        <f t="shared" ref="AC189:AC204" si="51">AD189&amp;AE189</f>
        <v>6x19 FEStaal (1770 N/m²)17</v>
      </c>
      <c r="AD189" t="str">
        <f t="shared" si="47"/>
        <v>6x19 FEStaal (1770 N/m²)</v>
      </c>
      <c r="AE189" s="19">
        <v>17</v>
      </c>
      <c r="AF189" s="356" t="s">
        <v>412</v>
      </c>
      <c r="AI189" s="64" t="str">
        <f t="shared" ref="AI189" si="52">+AJ189&amp;AK189</f>
        <v>Spunflex38mm</v>
      </c>
      <c r="AJ189" t="s">
        <v>112</v>
      </c>
      <c r="AK189" s="19" t="s">
        <v>885</v>
      </c>
      <c r="AL189" s="316" t="s">
        <v>412</v>
      </c>
      <c r="AM189"/>
      <c r="AY189" s="64" t="str">
        <f t="shared" si="38"/>
        <v>6x19 FEStaal (1770 N/m²)17</v>
      </c>
      <c r="AZ189" t="str">
        <f t="shared" si="48"/>
        <v>6x19 FEStaal (1770 N/m²)</v>
      </c>
      <c r="BA189" s="19">
        <v>17</v>
      </c>
      <c r="BB189" s="356" t="s">
        <v>412</v>
      </c>
      <c r="BC189" s="19"/>
    </row>
    <row r="190" spans="29:55" x14ac:dyDescent="0.25">
      <c r="AC190" s="64" t="str">
        <f t="shared" si="51"/>
        <v>6x19 FEStaal (1770 N/m²)18</v>
      </c>
      <c r="AD190" t="str">
        <f t="shared" si="47"/>
        <v>6x19 FEStaal (1770 N/m²)</v>
      </c>
      <c r="AE190" s="19">
        <v>18</v>
      </c>
      <c r="AF190" s="355" t="s">
        <v>412</v>
      </c>
      <c r="AI190" s="64" t="str">
        <f t="shared" ref="AI190:AI207" si="53">+AJ190&amp;AK190</f>
        <v>Spunflex44mm</v>
      </c>
      <c r="AJ190" t="s">
        <v>112</v>
      </c>
      <c r="AK190" s="19" t="s">
        <v>367</v>
      </c>
      <c r="AL190" s="316" t="s">
        <v>412</v>
      </c>
      <c r="AM190"/>
      <c r="AY190" s="64" t="str">
        <f t="shared" si="38"/>
        <v>6x19 FEStaal (1770 N/m²)18</v>
      </c>
      <c r="AZ190" t="str">
        <f t="shared" si="48"/>
        <v>6x19 FEStaal (1770 N/m²)</v>
      </c>
      <c r="BA190" s="19">
        <v>18</v>
      </c>
      <c r="BB190" s="355" t="s">
        <v>412</v>
      </c>
      <c r="BC190" s="19"/>
    </row>
    <row r="191" spans="29:55" x14ac:dyDescent="0.25">
      <c r="AC191" s="64" t="str">
        <f t="shared" si="51"/>
        <v>6x19 FEStaal (1770 N/m²)19</v>
      </c>
      <c r="AD191" t="str">
        <f t="shared" si="47"/>
        <v>6x19 FEStaal (1770 N/m²)</v>
      </c>
      <c r="AE191" s="19">
        <v>19</v>
      </c>
      <c r="AF191" s="356" t="s">
        <v>412</v>
      </c>
      <c r="AI191" s="64" t="str">
        <f t="shared" si="53"/>
        <v>Spunflex48mm</v>
      </c>
      <c r="AJ191" t="s">
        <v>112</v>
      </c>
      <c r="AK191" s="19" t="s">
        <v>368</v>
      </c>
      <c r="AL191" s="316" t="s">
        <v>412</v>
      </c>
      <c r="AM191"/>
      <c r="AY191" s="64" t="str">
        <f t="shared" si="38"/>
        <v>6x19 FEStaal (1770 N/m²)19</v>
      </c>
      <c r="AZ191" t="str">
        <f t="shared" si="48"/>
        <v>6x19 FEStaal (1770 N/m²)</v>
      </c>
      <c r="BA191" s="19">
        <v>19</v>
      </c>
      <c r="BB191" s="356" t="s">
        <v>412</v>
      </c>
      <c r="BC191" s="19"/>
    </row>
    <row r="192" spans="29:55" x14ac:dyDescent="0.25">
      <c r="AC192" s="64" t="str">
        <f t="shared" si="51"/>
        <v>6x19 FEStaal (1770 N/m²)20</v>
      </c>
      <c r="AD192" t="str">
        <f t="shared" si="47"/>
        <v>6x19 FEStaal (1770 N/m²)</v>
      </c>
      <c r="AE192" s="19">
        <v>20</v>
      </c>
      <c r="AF192" s="355" t="s">
        <v>412</v>
      </c>
      <c r="AI192" s="64" t="str">
        <f t="shared" si="53"/>
        <v>Spunflex50mm</v>
      </c>
      <c r="AJ192" t="s">
        <v>112</v>
      </c>
      <c r="AK192" s="19" t="s">
        <v>886</v>
      </c>
      <c r="AL192" s="316" t="s">
        <v>412</v>
      </c>
      <c r="AM192"/>
      <c r="AY192" s="64" t="str">
        <f t="shared" si="38"/>
        <v>6x19 FEStaal (1770 N/m²)20</v>
      </c>
      <c r="AZ192" t="str">
        <f t="shared" si="48"/>
        <v>6x19 FEStaal (1770 N/m²)</v>
      </c>
      <c r="BA192" s="19">
        <v>20</v>
      </c>
      <c r="BB192" s="355" t="s">
        <v>412</v>
      </c>
      <c r="BC192" s="19"/>
    </row>
    <row r="193" spans="29:55" x14ac:dyDescent="0.25">
      <c r="AC193" s="64" t="str">
        <f t="shared" si="51"/>
        <v>6x19 FEStaal (1770 N/m²)22</v>
      </c>
      <c r="AD193" t="str">
        <f>$AD$175</f>
        <v>6x19 FEStaal (1770 N/m²)</v>
      </c>
      <c r="AE193" s="19">
        <v>22</v>
      </c>
      <c r="AF193" s="356" t="s">
        <v>412</v>
      </c>
      <c r="AI193" s="64" t="str">
        <f t="shared" si="53"/>
        <v>Spunflex52mm</v>
      </c>
      <c r="AJ193" t="s">
        <v>112</v>
      </c>
      <c r="AK193" s="19" t="s">
        <v>369</v>
      </c>
      <c r="AL193" s="316" t="s">
        <v>412</v>
      </c>
      <c r="AM193"/>
      <c r="AY193" s="64" t="str">
        <f t="shared" si="38"/>
        <v>6x19 FEStaal (1770 N/m²)22</v>
      </c>
      <c r="AZ193" t="str">
        <f>$AD$175</f>
        <v>6x19 FEStaal (1770 N/m²)</v>
      </c>
      <c r="BA193" s="19">
        <v>22</v>
      </c>
      <c r="BB193" s="356" t="s">
        <v>412</v>
      </c>
      <c r="BC193" s="19"/>
    </row>
    <row r="194" spans="29:55" x14ac:dyDescent="0.25">
      <c r="AC194" s="64" t="str">
        <f t="shared" si="51"/>
        <v>6x19 FEStaal (1770 N/m²)24</v>
      </c>
      <c r="AD194" t="str">
        <f>$AD$175</f>
        <v>6x19 FEStaal (1770 N/m²)</v>
      </c>
      <c r="AE194" s="19">
        <v>24</v>
      </c>
      <c r="AF194" s="356" t="s">
        <v>412</v>
      </c>
      <c r="AI194" s="64" t="str">
        <f t="shared" si="53"/>
        <v>Spunflex1/4"</v>
      </c>
      <c r="AJ194" t="s">
        <v>112</v>
      </c>
      <c r="AK194" s="309" t="s">
        <v>346</v>
      </c>
      <c r="AL194" s="316" t="s">
        <v>412</v>
      </c>
      <c r="AM194"/>
      <c r="AY194" s="64" t="str">
        <f t="shared" si="38"/>
        <v>6x19 FEStaal (1770 N/m²)24</v>
      </c>
      <c r="AZ194" t="str">
        <f>$AD$175</f>
        <v>6x19 FEStaal (1770 N/m²)</v>
      </c>
      <c r="BA194" s="19">
        <v>24</v>
      </c>
      <c r="BB194" s="356" t="s">
        <v>412</v>
      </c>
      <c r="BC194" s="19"/>
    </row>
    <row r="195" spans="29:55" x14ac:dyDescent="0.25">
      <c r="AC195" s="64" t="str">
        <f t="shared" si="51"/>
        <v>6x19 FEStaal (1770 N/m²)26</v>
      </c>
      <c r="AD195" t="str">
        <f>$AD$175</f>
        <v>6x19 FEStaal (1770 N/m²)</v>
      </c>
      <c r="AE195" s="19">
        <v>26</v>
      </c>
      <c r="AF195" s="356" t="s">
        <v>412</v>
      </c>
      <c r="AI195" s="64" t="str">
        <f t="shared" si="53"/>
        <v>Spunflex5/16"</v>
      </c>
      <c r="AJ195" t="s">
        <v>112</v>
      </c>
      <c r="AK195" s="309" t="s">
        <v>347</v>
      </c>
      <c r="AL195" s="316" t="s">
        <v>412</v>
      </c>
      <c r="AM195"/>
      <c r="AY195" s="64" t="str">
        <f t="shared" si="38"/>
        <v>6x19 FEStaal (1770 N/m²)26</v>
      </c>
      <c r="AZ195" t="str">
        <f>$AD$175</f>
        <v>6x19 FEStaal (1770 N/m²)</v>
      </c>
      <c r="BA195" s="19">
        <v>26</v>
      </c>
      <c r="BB195" s="356" t="s">
        <v>412</v>
      </c>
      <c r="BC195" s="19"/>
    </row>
    <row r="196" spans="29:55" x14ac:dyDescent="0.25">
      <c r="AC196" s="64" t="str">
        <f t="shared" si="51"/>
        <v>6x19 FEStaal (1770 N/m²)28</v>
      </c>
      <c r="AD196" t="str">
        <f>$AD$175</f>
        <v>6x19 FEStaal (1770 N/m²)</v>
      </c>
      <c r="AE196" s="19">
        <v>28</v>
      </c>
      <c r="AF196" s="356" t="s">
        <v>412</v>
      </c>
      <c r="AI196" s="64" t="str">
        <f t="shared" si="53"/>
        <v>Spunflex3/8"</v>
      </c>
      <c r="AJ196" t="s">
        <v>112</v>
      </c>
      <c r="AK196" s="310" t="s">
        <v>348</v>
      </c>
      <c r="AL196" s="316" t="s">
        <v>412</v>
      </c>
      <c r="AM196"/>
      <c r="AY196" s="64" t="str">
        <f t="shared" si="38"/>
        <v>6x19 FEStaal (1770 N/m²)28</v>
      </c>
      <c r="AZ196" t="str">
        <f>$AD$175</f>
        <v>6x19 FEStaal (1770 N/m²)</v>
      </c>
      <c r="BA196" s="19">
        <v>28</v>
      </c>
      <c r="BB196" s="356" t="s">
        <v>412</v>
      </c>
      <c r="BC196" s="19"/>
    </row>
    <row r="197" spans="29:55" x14ac:dyDescent="0.25">
      <c r="AC197" s="64" t="str">
        <f t="shared" si="51"/>
        <v>6x19 FEStaal (1770 N/m²)30</v>
      </c>
      <c r="AD197" t="str">
        <f>$AD$175</f>
        <v>6x19 FEStaal (1770 N/m²)</v>
      </c>
      <c r="AE197" s="379">
        <v>30</v>
      </c>
      <c r="AF197" s="356" t="s">
        <v>412</v>
      </c>
      <c r="AI197" s="64" t="str">
        <f t="shared" si="53"/>
        <v>Spunflex7/16"</v>
      </c>
      <c r="AJ197" t="s">
        <v>112</v>
      </c>
      <c r="AK197" s="310" t="s">
        <v>349</v>
      </c>
      <c r="AL197" s="316" t="s">
        <v>412</v>
      </c>
      <c r="AM197"/>
      <c r="AY197" s="64" t="str">
        <f t="shared" si="38"/>
        <v>6x19 FEStaal (1770 N/m²)30</v>
      </c>
      <c r="AZ197" t="str">
        <f>$AD$175</f>
        <v>6x19 FEStaal (1770 N/m²)</v>
      </c>
      <c r="BA197" s="379">
        <v>30</v>
      </c>
      <c r="BB197" s="356" t="s">
        <v>412</v>
      </c>
      <c r="BC197" s="19"/>
    </row>
    <row r="198" spans="29:55" x14ac:dyDescent="0.25">
      <c r="AC198" s="373" t="str">
        <f t="shared" si="51"/>
        <v>7x19Staal (1770 N/m²)3</v>
      </c>
      <c r="AD198" s="374" t="str">
        <f>AD11&amp;AC4</f>
        <v>7x19Staal (1770 N/m²)</v>
      </c>
      <c r="AE198" s="63">
        <v>3</v>
      </c>
      <c r="AF198" s="375">
        <v>5.2875900000000007</v>
      </c>
      <c r="AI198" s="64" t="str">
        <f t="shared" si="53"/>
        <v>Spunflex1/2"</v>
      </c>
      <c r="AJ198" t="s">
        <v>112</v>
      </c>
      <c r="AK198" s="310" t="s">
        <v>350</v>
      </c>
      <c r="AL198" s="316" t="s">
        <v>412</v>
      </c>
      <c r="AM198"/>
      <c r="AY198" s="373" t="str">
        <f t="shared" si="38"/>
        <v>7x19Staal (1770 N/m²)3</v>
      </c>
      <c r="AZ198" s="374" t="str">
        <f>AZ10&amp;AY4</f>
        <v>7x19Staal (1770 N/m²)</v>
      </c>
      <c r="BA198" s="63">
        <v>3</v>
      </c>
      <c r="BB198" s="375">
        <v>5.2875900000000007</v>
      </c>
      <c r="BC198" s="63"/>
    </row>
    <row r="199" spans="29:55" x14ac:dyDescent="0.25">
      <c r="AC199" s="64" t="str">
        <f t="shared" si="51"/>
        <v>7x19Staal (1770 N/m²)4</v>
      </c>
      <c r="AD199" t="str">
        <f t="shared" ref="AD199:AD215" si="54">$AD$198</f>
        <v>7x19Staal (1770 N/m²)</v>
      </c>
      <c r="AE199" s="19">
        <v>4</v>
      </c>
      <c r="AF199" s="356">
        <v>9.3979800000000004</v>
      </c>
      <c r="AI199" s="64" t="str">
        <f t="shared" si="53"/>
        <v>Spunflex5/8"</v>
      </c>
      <c r="AJ199" t="s">
        <v>112</v>
      </c>
      <c r="AK199" s="310" t="s">
        <v>351</v>
      </c>
      <c r="AL199" s="316" t="s">
        <v>412</v>
      </c>
      <c r="AM199"/>
      <c r="AY199" s="64" t="str">
        <f t="shared" si="38"/>
        <v>7x19Staal (1770 N/m²)4</v>
      </c>
      <c r="AZ199" t="str">
        <f t="shared" ref="AZ199:AZ215" si="55">$AD$198</f>
        <v>7x19Staal (1770 N/m²)</v>
      </c>
      <c r="BA199" s="19">
        <v>4</v>
      </c>
      <c r="BB199" s="356">
        <v>9.3979800000000004</v>
      </c>
      <c r="BC199" s="19"/>
    </row>
    <row r="200" spans="29:55" x14ac:dyDescent="0.25">
      <c r="AC200" s="64" t="str">
        <f t="shared" si="51"/>
        <v>7x19Staal (1770 N/m²)5</v>
      </c>
      <c r="AD200" t="str">
        <f t="shared" si="54"/>
        <v>7x19Staal (1770 N/m²)</v>
      </c>
      <c r="AE200" s="19">
        <v>5</v>
      </c>
      <c r="AF200" s="356">
        <v>14.715</v>
      </c>
      <c r="AI200" s="64" t="str">
        <f t="shared" si="53"/>
        <v>Spunflex3/4"</v>
      </c>
      <c r="AJ200" t="s">
        <v>112</v>
      </c>
      <c r="AK200" s="310" t="s">
        <v>352</v>
      </c>
      <c r="AL200" s="316" t="s">
        <v>412</v>
      </c>
      <c r="AM200"/>
      <c r="AY200" s="64" t="str">
        <f t="shared" si="38"/>
        <v>7x19Staal (1770 N/m²)5</v>
      </c>
      <c r="AZ200" t="str">
        <f t="shared" si="55"/>
        <v>7x19Staal (1770 N/m²)</v>
      </c>
      <c r="BA200" s="19">
        <v>5</v>
      </c>
      <c r="BB200" s="356">
        <v>14.715</v>
      </c>
      <c r="BC200" s="19"/>
    </row>
    <row r="201" spans="29:55" x14ac:dyDescent="0.25">
      <c r="AC201" s="64" t="str">
        <f t="shared" si="51"/>
        <v>7x19Staal (1770 N/m²)6</v>
      </c>
      <c r="AD201" t="str">
        <f t="shared" si="54"/>
        <v>7x19Staal (1770 N/m²)</v>
      </c>
      <c r="AE201" s="19">
        <v>6</v>
      </c>
      <c r="AF201" s="356">
        <v>21.189600000000002</v>
      </c>
      <c r="AI201" s="64" t="str">
        <f t="shared" si="53"/>
        <v>Spunflex7/8"</v>
      </c>
      <c r="AJ201" t="s">
        <v>112</v>
      </c>
      <c r="AK201" s="310" t="s">
        <v>353</v>
      </c>
      <c r="AL201" s="316" t="s">
        <v>412</v>
      </c>
      <c r="AM201"/>
      <c r="AY201" s="64" t="str">
        <f t="shared" si="38"/>
        <v>7x19Staal (1770 N/m²)6</v>
      </c>
      <c r="AZ201" t="str">
        <f t="shared" si="55"/>
        <v>7x19Staal (1770 N/m²)</v>
      </c>
      <c r="BA201" s="19">
        <v>6</v>
      </c>
      <c r="BB201" s="356">
        <v>21.189600000000002</v>
      </c>
      <c r="BC201" s="19"/>
    </row>
    <row r="202" spans="29:55" x14ac:dyDescent="0.25">
      <c r="AC202" s="64" t="str">
        <f t="shared" si="51"/>
        <v>7x19Staal (1770 N/m²)7</v>
      </c>
      <c r="AD202" t="str">
        <f t="shared" si="54"/>
        <v>7x19Staal (1770 N/m²)</v>
      </c>
      <c r="AE202" s="19">
        <v>7</v>
      </c>
      <c r="AF202" s="356">
        <v>28.8414</v>
      </c>
      <c r="AI202" s="64" t="str">
        <f t="shared" si="53"/>
        <v>Spunflex1"</v>
      </c>
      <c r="AJ202" t="s">
        <v>112</v>
      </c>
      <c r="AK202" s="310" t="s">
        <v>354</v>
      </c>
      <c r="AL202" s="316" t="s">
        <v>412</v>
      </c>
      <c r="AM202"/>
      <c r="AY202" s="64" t="str">
        <f t="shared" si="38"/>
        <v>7x19Staal (1770 N/m²)7</v>
      </c>
      <c r="AZ202" t="str">
        <f t="shared" si="55"/>
        <v>7x19Staal (1770 N/m²)</v>
      </c>
      <c r="BA202" s="19">
        <v>7</v>
      </c>
      <c r="BB202" s="356">
        <v>28.8414</v>
      </c>
      <c r="BC202" s="19"/>
    </row>
    <row r="203" spans="29:55" x14ac:dyDescent="0.25">
      <c r="AC203" s="64" t="str">
        <f t="shared" si="51"/>
        <v>7x19Staal (1770 N/m²)8</v>
      </c>
      <c r="AD203" t="str">
        <f t="shared" si="54"/>
        <v>7x19Staal (1770 N/m²)</v>
      </c>
      <c r="AE203" s="19">
        <v>8</v>
      </c>
      <c r="AF203" s="355">
        <v>37.572300000000006</v>
      </c>
      <c r="AI203" s="64" t="str">
        <f t="shared" si="53"/>
        <v>Spunflex1 1/8"</v>
      </c>
      <c r="AJ203" t="s">
        <v>112</v>
      </c>
      <c r="AK203" s="310" t="s">
        <v>355</v>
      </c>
      <c r="AL203" s="316" t="s">
        <v>412</v>
      </c>
      <c r="AM203"/>
      <c r="AY203" s="64" t="str">
        <f t="shared" si="38"/>
        <v>7x19Staal (1770 N/m²)8</v>
      </c>
      <c r="AZ203" t="str">
        <f t="shared" si="55"/>
        <v>7x19Staal (1770 N/m²)</v>
      </c>
      <c r="BA203" s="19">
        <v>8</v>
      </c>
      <c r="BB203" s="355">
        <v>37.572300000000006</v>
      </c>
      <c r="BC203" s="19"/>
    </row>
    <row r="204" spans="29:55" x14ac:dyDescent="0.25">
      <c r="AC204" s="64" t="str">
        <f t="shared" si="51"/>
        <v>7x19Staal (1770 N/m²)9</v>
      </c>
      <c r="AD204" t="str">
        <f t="shared" si="54"/>
        <v>7x19Staal (1770 N/m²)</v>
      </c>
      <c r="AE204" s="19">
        <v>9</v>
      </c>
      <c r="AF204" s="356" t="s">
        <v>412</v>
      </c>
      <c r="AI204" s="64" t="str">
        <f t="shared" si="53"/>
        <v>Spunflex1 1/4"</v>
      </c>
      <c r="AJ204" t="s">
        <v>112</v>
      </c>
      <c r="AK204" s="310" t="s">
        <v>356</v>
      </c>
      <c r="AL204" s="316" t="s">
        <v>412</v>
      </c>
      <c r="AM204"/>
      <c r="AY204" s="64" t="str">
        <f t="shared" si="38"/>
        <v>7x19Staal (1770 N/m²)9</v>
      </c>
      <c r="AZ204" t="str">
        <f t="shared" si="55"/>
        <v>7x19Staal (1770 N/m²)</v>
      </c>
      <c r="BA204" s="19">
        <v>9</v>
      </c>
      <c r="BB204" s="356" t="s">
        <v>412</v>
      </c>
      <c r="BC204" s="19"/>
    </row>
    <row r="205" spans="29:55" x14ac:dyDescent="0.25">
      <c r="AC205" s="64" t="str">
        <f t="shared" ref="AC205:AC211" si="56">AD205&amp;AE205</f>
        <v>7x19Staal (1770 N/m²)10</v>
      </c>
      <c r="AD205" t="str">
        <f t="shared" si="54"/>
        <v>7x19Staal (1770 N/m²)</v>
      </c>
      <c r="AE205" s="19">
        <v>10</v>
      </c>
      <c r="AF205" s="355" t="s">
        <v>412</v>
      </c>
      <c r="AI205" s="64" t="str">
        <f t="shared" si="53"/>
        <v>Spunflex1 1/2"</v>
      </c>
      <c r="AJ205" t="s">
        <v>112</v>
      </c>
      <c r="AK205" s="310" t="s">
        <v>357</v>
      </c>
      <c r="AL205" s="316" t="s">
        <v>412</v>
      </c>
      <c r="AM205"/>
      <c r="AY205" s="64" t="str">
        <f t="shared" si="38"/>
        <v>7x19Staal (1770 N/m²)10</v>
      </c>
      <c r="AZ205" t="str">
        <f t="shared" si="55"/>
        <v>7x19Staal (1770 N/m²)</v>
      </c>
      <c r="BA205" s="19">
        <v>10</v>
      </c>
      <c r="BB205" s="355" t="s">
        <v>412</v>
      </c>
      <c r="BC205" s="19"/>
    </row>
    <row r="206" spans="29:55" x14ac:dyDescent="0.25">
      <c r="AC206" s="64" t="str">
        <f t="shared" si="56"/>
        <v>7x19Staal (1770 N/m²)11</v>
      </c>
      <c r="AD206" t="str">
        <f t="shared" si="54"/>
        <v>7x19Staal (1770 N/m²)</v>
      </c>
      <c r="AE206" s="19">
        <v>11</v>
      </c>
      <c r="AF206" s="356" t="s">
        <v>412</v>
      </c>
      <c r="AI206" s="64" t="str">
        <f t="shared" si="53"/>
        <v>Spunflex1 3/4"</v>
      </c>
      <c r="AJ206" t="s">
        <v>112</v>
      </c>
      <c r="AK206" s="310" t="s">
        <v>358</v>
      </c>
      <c r="AL206" s="316" t="s">
        <v>412</v>
      </c>
      <c r="AM206"/>
      <c r="AY206" s="64" t="str">
        <f t="shared" si="38"/>
        <v>7x19Staal (1770 N/m²)11</v>
      </c>
      <c r="AZ206" t="str">
        <f t="shared" si="55"/>
        <v>7x19Staal (1770 N/m²)</v>
      </c>
      <c r="BA206" s="19">
        <v>11</v>
      </c>
      <c r="BB206" s="356" t="s">
        <v>412</v>
      </c>
      <c r="BC206" s="19"/>
    </row>
    <row r="207" spans="29:55" x14ac:dyDescent="0.25">
      <c r="AC207" s="64" t="str">
        <f t="shared" si="56"/>
        <v>7x19Staal (1770 N/m²)12</v>
      </c>
      <c r="AD207" t="str">
        <f t="shared" si="54"/>
        <v>7x19Staal (1770 N/m²)</v>
      </c>
      <c r="AE207" s="19">
        <v>12</v>
      </c>
      <c r="AF207" s="355" t="s">
        <v>412</v>
      </c>
      <c r="AI207" s="64" t="str">
        <f t="shared" si="53"/>
        <v>Spunflex2"</v>
      </c>
      <c r="AJ207" t="s">
        <v>112</v>
      </c>
      <c r="AK207" s="310" t="s">
        <v>359</v>
      </c>
      <c r="AL207" s="316" t="s">
        <v>412</v>
      </c>
      <c r="AM207"/>
      <c r="AY207" s="64" t="str">
        <f t="shared" si="38"/>
        <v>7x19Staal (1770 N/m²)12</v>
      </c>
      <c r="AZ207" t="str">
        <f t="shared" si="55"/>
        <v>7x19Staal (1770 N/m²)</v>
      </c>
      <c r="BA207" s="19">
        <v>12</v>
      </c>
      <c r="BB207" s="355" t="s">
        <v>412</v>
      </c>
      <c r="BC207" s="19"/>
    </row>
    <row r="208" spans="29:55" x14ac:dyDescent="0.25">
      <c r="AC208" s="64" t="str">
        <f t="shared" si="56"/>
        <v>7x19Staal (1770 N/m²)13</v>
      </c>
      <c r="AD208" t="str">
        <f t="shared" si="54"/>
        <v>7x19Staal (1770 N/m²)</v>
      </c>
      <c r="AE208" s="19">
        <v>13</v>
      </c>
      <c r="AF208" s="356" t="s">
        <v>412</v>
      </c>
      <c r="AI208" s="64" t="str">
        <f t="shared" ref="AI208:AI216" si="57">+AJ208&amp;AK208</f>
        <v>Spunflex3mm</v>
      </c>
      <c r="AJ208" t="s">
        <v>112</v>
      </c>
      <c r="AK208" s="19" t="s">
        <v>630</v>
      </c>
      <c r="AL208" s="316" t="s">
        <v>412</v>
      </c>
      <c r="AM208"/>
      <c r="AY208" s="64" t="str">
        <f t="shared" si="38"/>
        <v>7x19Staal (1770 N/m²)13</v>
      </c>
      <c r="AZ208" t="str">
        <f t="shared" si="55"/>
        <v>7x19Staal (1770 N/m²)</v>
      </c>
      <c r="BA208" s="19">
        <v>13</v>
      </c>
      <c r="BB208" s="356" t="s">
        <v>412</v>
      </c>
      <c r="BC208" s="19"/>
    </row>
    <row r="209" spans="29:55" x14ac:dyDescent="0.25">
      <c r="AC209" s="64" t="str">
        <f t="shared" si="56"/>
        <v>7x19Staal (1770 N/m²)14</v>
      </c>
      <c r="AD209" t="str">
        <f t="shared" si="54"/>
        <v>7x19Staal (1770 N/m²)</v>
      </c>
      <c r="AE209" s="19">
        <v>14</v>
      </c>
      <c r="AF209" s="355" t="s">
        <v>412</v>
      </c>
      <c r="AI209" s="64" t="str">
        <f t="shared" si="57"/>
        <v>Spunflex4mm</v>
      </c>
      <c r="AJ209" t="s">
        <v>112</v>
      </c>
      <c r="AK209" s="19" t="s">
        <v>609</v>
      </c>
      <c r="AL209" s="316" t="s">
        <v>412</v>
      </c>
      <c r="AM209"/>
      <c r="AY209" s="64" t="str">
        <f t="shared" si="38"/>
        <v>7x19Staal (1770 N/m²)14</v>
      </c>
      <c r="AZ209" t="str">
        <f t="shared" si="55"/>
        <v>7x19Staal (1770 N/m²)</v>
      </c>
      <c r="BA209" s="19">
        <v>14</v>
      </c>
      <c r="BB209" s="355" t="s">
        <v>412</v>
      </c>
      <c r="BC209" s="19"/>
    </row>
    <row r="210" spans="29:55" x14ac:dyDescent="0.25">
      <c r="AC210" s="64" t="str">
        <f t="shared" si="56"/>
        <v>7x19Staal (1770 N/m²)15</v>
      </c>
      <c r="AD210" t="str">
        <f t="shared" si="54"/>
        <v>7x19Staal (1770 N/m²)</v>
      </c>
      <c r="AE210" s="19">
        <v>15</v>
      </c>
      <c r="AF210" s="356" t="s">
        <v>412</v>
      </c>
      <c r="AI210" s="64" t="str">
        <f t="shared" si="57"/>
        <v>Spunflex5mm</v>
      </c>
      <c r="AJ210" t="s">
        <v>112</v>
      </c>
      <c r="AK210" s="19" t="s">
        <v>631</v>
      </c>
      <c r="AL210" s="316" t="s">
        <v>412</v>
      </c>
      <c r="AM210"/>
      <c r="AY210" s="64" t="str">
        <f t="shared" si="38"/>
        <v>7x19Staal (1770 N/m²)15</v>
      </c>
      <c r="AZ210" t="str">
        <f t="shared" si="55"/>
        <v>7x19Staal (1770 N/m²)</v>
      </c>
      <c r="BA210" s="19">
        <v>15</v>
      </c>
      <c r="BB210" s="356" t="s">
        <v>412</v>
      </c>
      <c r="BC210" s="19"/>
    </row>
    <row r="211" spans="29:55" x14ac:dyDescent="0.25">
      <c r="AC211" s="64" t="str">
        <f t="shared" si="56"/>
        <v>7x19Staal (1770 N/m²)16</v>
      </c>
      <c r="AD211" t="str">
        <f t="shared" si="54"/>
        <v>7x19Staal (1770 N/m²)</v>
      </c>
      <c r="AE211" s="19">
        <v>16</v>
      </c>
      <c r="AF211" s="355" t="s">
        <v>412</v>
      </c>
      <c r="AI211" s="64" t="str">
        <f t="shared" si="57"/>
        <v>Spunflex6mm</v>
      </c>
      <c r="AJ211" t="s">
        <v>112</v>
      </c>
      <c r="AK211" s="19" t="s">
        <v>608</v>
      </c>
      <c r="AL211" s="316">
        <f>550/100</f>
        <v>5.5</v>
      </c>
      <c r="AM211"/>
      <c r="AY211" s="64" t="str">
        <f t="shared" ref="AY211:AY238" si="58">AZ211&amp;BA211</f>
        <v>7x19Staal (1770 N/m²)16</v>
      </c>
      <c r="AZ211" t="str">
        <f t="shared" si="55"/>
        <v>7x19Staal (1770 N/m²)</v>
      </c>
      <c r="BA211" s="19">
        <v>16</v>
      </c>
      <c r="BB211" s="355" t="s">
        <v>412</v>
      </c>
      <c r="BC211" s="19"/>
    </row>
    <row r="212" spans="29:55" x14ac:dyDescent="0.25">
      <c r="AC212" s="64" t="str">
        <f t="shared" ref="AC212:AC227" si="59">AD212&amp;AE212</f>
        <v>7x19Staal (1770 N/m²)17</v>
      </c>
      <c r="AD212" t="str">
        <f t="shared" si="54"/>
        <v>7x19Staal (1770 N/m²)</v>
      </c>
      <c r="AE212" s="19">
        <v>17</v>
      </c>
      <c r="AF212" s="356" t="s">
        <v>412</v>
      </c>
      <c r="AI212" s="62" t="str">
        <f t="shared" si="57"/>
        <v>Spleitex3mm</v>
      </c>
      <c r="AJ212" s="66" t="s">
        <v>114</v>
      </c>
      <c r="AK212" s="63" t="s">
        <v>630</v>
      </c>
      <c r="AL212" s="315" t="s">
        <v>412</v>
      </c>
      <c r="AM212"/>
      <c r="AY212" s="64" t="str">
        <f t="shared" si="58"/>
        <v>7x19Staal (1770 N/m²)17</v>
      </c>
      <c r="AZ212" t="str">
        <f t="shared" si="55"/>
        <v>7x19Staal (1770 N/m²)</v>
      </c>
      <c r="BA212" s="19">
        <v>17</v>
      </c>
      <c r="BB212" s="356" t="s">
        <v>412</v>
      </c>
      <c r="BC212" s="19"/>
    </row>
    <row r="213" spans="29:55" x14ac:dyDescent="0.25">
      <c r="AC213" s="64" t="str">
        <f t="shared" si="59"/>
        <v>7x19Staal (1770 N/m²)18</v>
      </c>
      <c r="AD213" t="str">
        <f t="shared" si="54"/>
        <v>7x19Staal (1770 N/m²)</v>
      </c>
      <c r="AE213" s="19">
        <v>18</v>
      </c>
      <c r="AF213" s="355" t="s">
        <v>412</v>
      </c>
      <c r="AI213" s="64" t="str">
        <f t="shared" si="57"/>
        <v>Spleitex4mm</v>
      </c>
      <c r="AJ213" t="s">
        <v>114</v>
      </c>
      <c r="AK213" s="19" t="s">
        <v>609</v>
      </c>
      <c r="AL213" s="316" t="s">
        <v>412</v>
      </c>
      <c r="AM213"/>
      <c r="AY213" s="64" t="str">
        <f t="shared" si="58"/>
        <v>7x19Staal (1770 N/m²)18</v>
      </c>
      <c r="AZ213" t="str">
        <f t="shared" si="55"/>
        <v>7x19Staal (1770 N/m²)</v>
      </c>
      <c r="BA213" s="19">
        <v>18</v>
      </c>
      <c r="BB213" s="355" t="s">
        <v>412</v>
      </c>
      <c r="BC213" s="19"/>
    </row>
    <row r="214" spans="29:55" x14ac:dyDescent="0.25">
      <c r="AC214" s="64" t="str">
        <f t="shared" si="59"/>
        <v>7x19Staal (1770 N/m²)19</v>
      </c>
      <c r="AD214" t="str">
        <f t="shared" si="54"/>
        <v>7x19Staal (1770 N/m²)</v>
      </c>
      <c r="AE214" s="19">
        <v>19</v>
      </c>
      <c r="AF214" s="356" t="s">
        <v>412</v>
      </c>
      <c r="AI214" s="64" t="str">
        <f t="shared" si="57"/>
        <v>Spleitex5mm</v>
      </c>
      <c r="AJ214" t="s">
        <v>114</v>
      </c>
      <c r="AK214" s="19" t="s">
        <v>631</v>
      </c>
      <c r="AL214" s="316" t="s">
        <v>412</v>
      </c>
      <c r="AM214"/>
      <c r="AY214" s="64" t="str">
        <f t="shared" si="58"/>
        <v>7x19Staal (1770 N/m²)19</v>
      </c>
      <c r="AZ214" t="str">
        <f t="shared" si="55"/>
        <v>7x19Staal (1770 N/m²)</v>
      </c>
      <c r="BA214" s="19">
        <v>19</v>
      </c>
      <c r="BB214" s="356" t="s">
        <v>412</v>
      </c>
      <c r="BC214" s="19"/>
    </row>
    <row r="215" spans="29:55" x14ac:dyDescent="0.25">
      <c r="AC215" s="64" t="str">
        <f t="shared" si="59"/>
        <v>7x19Staal (1770 N/m²)20</v>
      </c>
      <c r="AD215" t="str">
        <f t="shared" si="54"/>
        <v>7x19Staal (1770 N/m²)</v>
      </c>
      <c r="AE215" s="19">
        <v>20</v>
      </c>
      <c r="AF215" s="355" t="s">
        <v>412</v>
      </c>
      <c r="AI215" s="64" t="str">
        <f t="shared" si="57"/>
        <v>Spleitex6mm</v>
      </c>
      <c r="AJ215" t="s">
        <v>114</v>
      </c>
      <c r="AK215" s="19" t="s">
        <v>608</v>
      </c>
      <c r="AL215" s="316">
        <f>335/100</f>
        <v>3.35</v>
      </c>
      <c r="AM215"/>
      <c r="AY215" s="64" t="str">
        <f t="shared" si="58"/>
        <v>7x19Staal (1770 N/m²)20</v>
      </c>
      <c r="AZ215" t="str">
        <f t="shared" si="55"/>
        <v>7x19Staal (1770 N/m²)</v>
      </c>
      <c r="BA215" s="19">
        <v>20</v>
      </c>
      <c r="BB215" s="355" t="s">
        <v>412</v>
      </c>
      <c r="BC215" s="19"/>
    </row>
    <row r="216" spans="29:55" x14ac:dyDescent="0.25">
      <c r="AC216" s="64" t="str">
        <f t="shared" si="59"/>
        <v>7x19Staal (1770 N/m²)22</v>
      </c>
      <c r="AD216" t="str">
        <f>$AD$198</f>
        <v>7x19Staal (1770 N/m²)</v>
      </c>
      <c r="AE216" s="19">
        <v>22</v>
      </c>
      <c r="AF216" s="356" t="s">
        <v>412</v>
      </c>
      <c r="AI216" s="64" t="str">
        <f t="shared" si="57"/>
        <v>Spleitex8mm</v>
      </c>
      <c r="AJ216" t="s">
        <v>114</v>
      </c>
      <c r="AK216" s="19" t="s">
        <v>607</v>
      </c>
      <c r="AL216" s="327">
        <v>5.95</v>
      </c>
      <c r="AM216"/>
      <c r="AY216" s="64" t="str">
        <f t="shared" si="58"/>
        <v>7x19Staal (1770 N/m²)22</v>
      </c>
      <c r="AZ216" t="str">
        <f>$AD$198</f>
        <v>7x19Staal (1770 N/m²)</v>
      </c>
      <c r="BA216" s="19">
        <v>22</v>
      </c>
      <c r="BB216" s="356" t="s">
        <v>412</v>
      </c>
      <c r="BC216" s="19"/>
    </row>
    <row r="217" spans="29:55" x14ac:dyDescent="0.25">
      <c r="AC217" s="64" t="str">
        <f t="shared" si="59"/>
        <v>7x19Staal (1770 N/m²)24</v>
      </c>
      <c r="AD217" t="str">
        <f>$AD$198</f>
        <v>7x19Staal (1770 N/m²)</v>
      </c>
      <c r="AE217" s="19">
        <v>24</v>
      </c>
      <c r="AF217" s="356" t="s">
        <v>412</v>
      </c>
      <c r="AI217" s="64" t="str">
        <f t="shared" ref="AI217:AI226" si="60">+AJ217&amp;AK217</f>
        <v>Spleitex10mm</v>
      </c>
      <c r="AJ217" t="s">
        <v>114</v>
      </c>
      <c r="AK217" s="19" t="s">
        <v>606</v>
      </c>
      <c r="AL217" s="327">
        <v>9</v>
      </c>
      <c r="AM217"/>
      <c r="AY217" s="64" t="str">
        <f t="shared" si="58"/>
        <v>7x19Staal (1770 N/m²)24</v>
      </c>
      <c r="AZ217" t="str">
        <f>$AD$198</f>
        <v>7x19Staal (1770 N/m²)</v>
      </c>
      <c r="BA217" s="19">
        <v>24</v>
      </c>
      <c r="BB217" s="356" t="s">
        <v>412</v>
      </c>
      <c r="BC217" s="19"/>
    </row>
    <row r="218" spans="29:55" x14ac:dyDescent="0.25">
      <c r="AC218" s="64" t="str">
        <f t="shared" si="59"/>
        <v>7x19Staal (1770 N/m²)26</v>
      </c>
      <c r="AD218" t="str">
        <f>$AD$198</f>
        <v>7x19Staal (1770 N/m²)</v>
      </c>
      <c r="AE218" s="19">
        <v>26</v>
      </c>
      <c r="AF218" s="356" t="s">
        <v>412</v>
      </c>
      <c r="AI218" s="64" t="str">
        <f t="shared" si="60"/>
        <v>Spleitex12mm</v>
      </c>
      <c r="AJ218" t="s">
        <v>114</v>
      </c>
      <c r="AK218" s="19" t="s">
        <v>605</v>
      </c>
      <c r="AL218" s="327">
        <v>13.4</v>
      </c>
      <c r="AM218"/>
      <c r="AY218" s="64" t="str">
        <f t="shared" si="58"/>
        <v>7x19Staal (1770 N/m²)26</v>
      </c>
      <c r="AZ218" t="str">
        <f>$AD$198</f>
        <v>7x19Staal (1770 N/m²)</v>
      </c>
      <c r="BA218" s="19">
        <v>26</v>
      </c>
      <c r="BB218" s="356" t="s">
        <v>412</v>
      </c>
      <c r="BC218" s="19"/>
    </row>
    <row r="219" spans="29:55" x14ac:dyDescent="0.25">
      <c r="AC219" s="64" t="str">
        <f t="shared" si="59"/>
        <v>7x19Staal (1770 N/m²)28</v>
      </c>
      <c r="AD219" t="str">
        <f>$AD$198</f>
        <v>7x19Staal (1770 N/m²)</v>
      </c>
      <c r="AE219" s="19">
        <v>28</v>
      </c>
      <c r="AF219" s="356" t="s">
        <v>412</v>
      </c>
      <c r="AI219" s="64" t="str">
        <f t="shared" si="60"/>
        <v>Spleitex14mm</v>
      </c>
      <c r="AJ219" t="s">
        <v>114</v>
      </c>
      <c r="AK219" s="19" t="s">
        <v>604</v>
      </c>
      <c r="AL219" s="327">
        <v>17.399999999999999</v>
      </c>
      <c r="AM219"/>
      <c r="AY219" s="64" t="str">
        <f t="shared" si="58"/>
        <v>7x19Staal (1770 N/m²)28</v>
      </c>
      <c r="AZ219" t="str">
        <f>$AD$198</f>
        <v>7x19Staal (1770 N/m²)</v>
      </c>
      <c r="BA219" s="19">
        <v>28</v>
      </c>
      <c r="BB219" s="356" t="s">
        <v>412</v>
      </c>
      <c r="BC219" s="19"/>
    </row>
    <row r="220" spans="29:55" x14ac:dyDescent="0.25">
      <c r="AC220" s="64" t="str">
        <f t="shared" si="59"/>
        <v>7x19Staal (1770 N/m²)30</v>
      </c>
      <c r="AD220" t="str">
        <f>$AD$198</f>
        <v>7x19Staal (1770 N/m²)</v>
      </c>
      <c r="AE220" s="379">
        <v>30</v>
      </c>
      <c r="AF220" s="356" t="s">
        <v>412</v>
      </c>
      <c r="AI220" s="64" t="str">
        <f t="shared" si="60"/>
        <v>Spleitex16mm</v>
      </c>
      <c r="AJ220" t="s">
        <v>114</v>
      </c>
      <c r="AK220" s="19" t="s">
        <v>603</v>
      </c>
      <c r="AL220" s="327">
        <v>21.8</v>
      </c>
      <c r="AM220"/>
      <c r="AY220" s="64" t="str">
        <f t="shared" si="58"/>
        <v>7x19Staal (1770 N/m²)30</v>
      </c>
      <c r="AZ220" t="str">
        <f>$AD$198</f>
        <v>7x19Staal (1770 N/m²)</v>
      </c>
      <c r="BA220" s="379">
        <v>30</v>
      </c>
      <c r="BB220" s="356" t="s">
        <v>412</v>
      </c>
      <c r="BC220" s="19"/>
    </row>
    <row r="221" spans="29:55" x14ac:dyDescent="0.25">
      <c r="AC221" s="373" t="str">
        <f t="shared" si="59"/>
        <v>Dyn Q1 Gevl.Dyneema3</v>
      </c>
      <c r="AD221" s="374" t="str">
        <f>AD12&amp;AC7</f>
        <v>Dyn Q1 Gevl.Dyneema</v>
      </c>
      <c r="AE221" s="63">
        <v>3</v>
      </c>
      <c r="AF221" s="375">
        <f>1.414*9.81</f>
        <v>13.87134</v>
      </c>
      <c r="AI221" s="64" t="str">
        <f t="shared" si="60"/>
        <v>Spleitex18mm</v>
      </c>
      <c r="AJ221" t="s">
        <v>114</v>
      </c>
      <c r="AK221" s="19" t="s">
        <v>360</v>
      </c>
      <c r="AL221" s="327">
        <v>27.3</v>
      </c>
      <c r="AM221"/>
      <c r="AY221" s="373" t="str">
        <f t="shared" si="58"/>
        <v>GevlochtenDyneema3</v>
      </c>
      <c r="AZ221" s="374" t="s">
        <v>883</v>
      </c>
      <c r="BA221" s="63">
        <v>3</v>
      </c>
      <c r="BB221" s="375">
        <f>1.414*9.81</f>
        <v>13.87134</v>
      </c>
      <c r="BC221" s="63"/>
    </row>
    <row r="222" spans="29:55" x14ac:dyDescent="0.25">
      <c r="AC222" s="64" t="str">
        <f t="shared" si="59"/>
        <v>Dyn Q1 Gevl.Dyneema4</v>
      </c>
      <c r="AD222" t="str">
        <f t="shared" ref="AD222:AD238" si="61">$AD$221</f>
        <v>Dyn Q1 Gevl.Dyneema</v>
      </c>
      <c r="AE222" s="19">
        <v>4</v>
      </c>
      <c r="AF222" s="356">
        <f>2.179*9.81</f>
        <v>21.375989999999998</v>
      </c>
      <c r="AI222" s="64" t="str">
        <f t="shared" si="60"/>
        <v>Spleitex19mm</v>
      </c>
      <c r="AJ222" t="s">
        <v>114</v>
      </c>
      <c r="AK222" s="19" t="s">
        <v>624</v>
      </c>
      <c r="AL222" s="328" t="s">
        <v>412</v>
      </c>
      <c r="AM222"/>
      <c r="AY222" s="64" t="str">
        <f t="shared" si="58"/>
        <v>GevlochtenDyneema4</v>
      </c>
      <c r="AZ222" s="438" t="str">
        <f>$AZ$221</f>
        <v>GevlochtenDyneema</v>
      </c>
      <c r="BA222" s="19">
        <v>4</v>
      </c>
      <c r="BB222" s="356">
        <f>2.179*9.81</f>
        <v>21.375989999999998</v>
      </c>
      <c r="BC222" s="19"/>
    </row>
    <row r="223" spans="29:55" x14ac:dyDescent="0.25">
      <c r="AC223" s="64" t="str">
        <f t="shared" si="59"/>
        <v>Dyn Q1 Gevl.Dyneema5</v>
      </c>
      <c r="AD223" t="str">
        <f t="shared" si="61"/>
        <v>Dyn Q1 Gevl.Dyneema</v>
      </c>
      <c r="AE223" s="19">
        <v>5</v>
      </c>
      <c r="AF223" s="356">
        <f>3.3*9.81</f>
        <v>32.372999999999998</v>
      </c>
      <c r="AI223" s="64" t="str">
        <f t="shared" si="60"/>
        <v>Spleitex20mm</v>
      </c>
      <c r="AJ223" t="s">
        <v>114</v>
      </c>
      <c r="AK223" s="19" t="s">
        <v>623</v>
      </c>
      <c r="AL223" s="328">
        <v>34.200000000000003</v>
      </c>
      <c r="AM223"/>
      <c r="AY223" s="64" t="str">
        <f t="shared" si="58"/>
        <v>GevlochtenDyneema5</v>
      </c>
      <c r="AZ223" s="438" t="str">
        <f t="shared" ref="AZ223:AZ243" si="62">$AZ$221</f>
        <v>GevlochtenDyneema</v>
      </c>
      <c r="BA223" s="19">
        <v>5</v>
      </c>
      <c r="BB223" s="356">
        <f>3.3*9.81</f>
        <v>32.372999999999998</v>
      </c>
      <c r="BC223" s="19"/>
    </row>
    <row r="224" spans="29:55" x14ac:dyDescent="0.25">
      <c r="AC224" s="64" t="str">
        <f t="shared" si="59"/>
        <v>Dyn Q1 Gevl.Dyneema6</v>
      </c>
      <c r="AD224" t="str">
        <f t="shared" si="61"/>
        <v>Dyn Q1 Gevl.Dyneema</v>
      </c>
      <c r="AE224" s="19">
        <v>6</v>
      </c>
      <c r="AF224" s="356">
        <f>4.328*9.81</f>
        <v>42.457680000000003</v>
      </c>
      <c r="AI224" s="64" t="str">
        <f t="shared" si="60"/>
        <v>Spleitex22mm</v>
      </c>
      <c r="AJ224" t="s">
        <v>114</v>
      </c>
      <c r="AK224" s="19" t="s">
        <v>361</v>
      </c>
      <c r="AL224" s="328" t="s">
        <v>412</v>
      </c>
      <c r="AM224"/>
      <c r="AY224" s="64" t="str">
        <f t="shared" si="58"/>
        <v>GevlochtenDyneema6</v>
      </c>
      <c r="AZ224" s="438" t="str">
        <f t="shared" si="62"/>
        <v>GevlochtenDyneema</v>
      </c>
      <c r="BA224" s="19">
        <v>6</v>
      </c>
      <c r="BB224" s="356">
        <f>4.328*9.81</f>
        <v>42.457680000000003</v>
      </c>
      <c r="BC224" s="19"/>
    </row>
    <row r="225" spans="29:55" x14ac:dyDescent="0.25">
      <c r="AC225" s="64" t="str">
        <f t="shared" si="59"/>
        <v>Dyn Q1 Gevl.Dyneema7</v>
      </c>
      <c r="AD225" t="str">
        <f t="shared" si="61"/>
        <v>Dyn Q1 Gevl.Dyneema</v>
      </c>
      <c r="AE225" s="19">
        <v>7</v>
      </c>
      <c r="AF225" s="356" t="s">
        <v>412</v>
      </c>
      <c r="AI225" s="64" t="str">
        <f t="shared" si="60"/>
        <v>Spleitex24mm</v>
      </c>
      <c r="AJ225" t="s">
        <v>114</v>
      </c>
      <c r="AK225" s="19" t="s">
        <v>362</v>
      </c>
      <c r="AL225" s="328">
        <v>48.3</v>
      </c>
      <c r="AM225"/>
      <c r="AY225" s="64" t="str">
        <f t="shared" si="58"/>
        <v>GevlochtenDyneema7</v>
      </c>
      <c r="AZ225" s="438" t="str">
        <f t="shared" si="62"/>
        <v>GevlochtenDyneema</v>
      </c>
      <c r="BA225" s="19">
        <v>7</v>
      </c>
      <c r="BB225" s="356" t="s">
        <v>412</v>
      </c>
      <c r="BC225" s="19"/>
    </row>
    <row r="226" spans="29:55" x14ac:dyDescent="0.25">
      <c r="AC226" s="64" t="str">
        <f t="shared" si="59"/>
        <v>Dyn Q1 Gevl.Dyneema8</v>
      </c>
      <c r="AD226" t="str">
        <f t="shared" si="61"/>
        <v>Dyn Q1 Gevl.Dyneema</v>
      </c>
      <c r="AE226" s="19">
        <v>8</v>
      </c>
      <c r="AF226" s="355">
        <f>8.027*9.81</f>
        <v>78.744869999999992</v>
      </c>
      <c r="AI226" s="64" t="str">
        <f t="shared" si="60"/>
        <v>Spleitex26mm</v>
      </c>
      <c r="AJ226" t="s">
        <v>114</v>
      </c>
      <c r="AK226" s="310" t="s">
        <v>629</v>
      </c>
      <c r="AL226" s="316" t="s">
        <v>412</v>
      </c>
      <c r="AM226"/>
      <c r="AY226" s="64" t="str">
        <f t="shared" si="58"/>
        <v>GevlochtenDyneema8</v>
      </c>
      <c r="AZ226" s="438" t="str">
        <f t="shared" si="62"/>
        <v>GevlochtenDyneema</v>
      </c>
      <c r="BA226" s="19">
        <v>8</v>
      </c>
      <c r="BB226" s="355">
        <f>8.027*9.81</f>
        <v>78.744869999999992</v>
      </c>
      <c r="BC226" s="19"/>
    </row>
    <row r="227" spans="29:55" x14ac:dyDescent="0.25">
      <c r="AC227" s="64" t="str">
        <f t="shared" si="59"/>
        <v>Dyn Q1 Gevl.Dyneema9</v>
      </c>
      <c r="AD227" t="str">
        <f t="shared" si="61"/>
        <v>Dyn Q1 Gevl.Dyneema</v>
      </c>
      <c r="AE227" s="19">
        <v>9</v>
      </c>
      <c r="AF227" s="356" t="s">
        <v>412</v>
      </c>
      <c r="AI227" s="64" t="str">
        <f t="shared" ref="AI227:AI230" si="63">+AJ227&amp;AK227</f>
        <v>Spleitex28mm</v>
      </c>
      <c r="AJ227" t="s">
        <v>114</v>
      </c>
      <c r="AK227" s="19" t="s">
        <v>363</v>
      </c>
      <c r="AL227" s="316" t="s">
        <v>412</v>
      </c>
      <c r="AM227"/>
      <c r="AY227" s="64" t="str">
        <f t="shared" si="58"/>
        <v>GevlochtenDyneema9</v>
      </c>
      <c r="AZ227" s="438" t="str">
        <f t="shared" si="62"/>
        <v>GevlochtenDyneema</v>
      </c>
      <c r="BA227" s="19">
        <v>9</v>
      </c>
      <c r="BB227" s="356" t="s">
        <v>412</v>
      </c>
      <c r="BC227" s="19"/>
    </row>
    <row r="228" spans="29:55" x14ac:dyDescent="0.25">
      <c r="AC228" s="64" t="str">
        <f t="shared" ref="AC228:AC238" si="64">AD228&amp;AE228</f>
        <v>Dyn Q1 Gevl.Dyneema10</v>
      </c>
      <c r="AD228" t="str">
        <f t="shared" si="61"/>
        <v>Dyn Q1 Gevl.Dyneema</v>
      </c>
      <c r="AE228" s="19">
        <v>10</v>
      </c>
      <c r="AF228" s="355">
        <f>9.809*9.81</f>
        <v>96.226289999999992</v>
      </c>
      <c r="AI228" s="64" t="str">
        <f t="shared" si="63"/>
        <v>Spleitex30mm</v>
      </c>
      <c r="AJ228" t="s">
        <v>114</v>
      </c>
      <c r="AK228" s="19" t="s">
        <v>364</v>
      </c>
      <c r="AL228" s="316" t="s">
        <v>412</v>
      </c>
      <c r="AM228"/>
      <c r="AY228" s="64" t="str">
        <f t="shared" si="58"/>
        <v>GevlochtenDyneema10</v>
      </c>
      <c r="AZ228" s="438" t="str">
        <f t="shared" si="62"/>
        <v>GevlochtenDyneema</v>
      </c>
      <c r="BA228" s="19">
        <v>10</v>
      </c>
      <c r="BB228" s="355">
        <f>9.809*9.81</f>
        <v>96.226289999999992</v>
      </c>
      <c r="BC228" s="19"/>
    </row>
    <row r="229" spans="29:55" x14ac:dyDescent="0.25">
      <c r="AC229" s="64" t="str">
        <f t="shared" si="64"/>
        <v>Dyn Q1 Gevl.Dyneema11</v>
      </c>
      <c r="AD229" t="str">
        <f t="shared" si="61"/>
        <v>Dyn Q1 Gevl.Dyneema</v>
      </c>
      <c r="AE229" s="19">
        <v>11</v>
      </c>
      <c r="AF229" s="356" t="s">
        <v>412</v>
      </c>
      <c r="AI229" s="64" t="str">
        <f t="shared" si="63"/>
        <v>Spleitex32mm</v>
      </c>
      <c r="AJ229" t="s">
        <v>114</v>
      </c>
      <c r="AK229" s="19" t="s">
        <v>365</v>
      </c>
      <c r="AL229" s="316" t="s">
        <v>412</v>
      </c>
      <c r="AM229"/>
      <c r="AY229" s="64" t="str">
        <f t="shared" si="58"/>
        <v>GevlochtenDyneema11</v>
      </c>
      <c r="AZ229" s="438" t="str">
        <f t="shared" si="62"/>
        <v>GevlochtenDyneema</v>
      </c>
      <c r="BA229" s="19">
        <v>11</v>
      </c>
      <c r="BB229" s="356" t="s">
        <v>412</v>
      </c>
      <c r="BC229" s="19"/>
    </row>
    <row r="230" spans="29:55" x14ac:dyDescent="0.25">
      <c r="AC230" s="64" t="str">
        <f t="shared" si="64"/>
        <v>Dyn Q1 Gevl.Dyneema12</v>
      </c>
      <c r="AD230" t="str">
        <f t="shared" si="61"/>
        <v>Dyn Q1 Gevl.Dyneema</v>
      </c>
      <c r="AE230" s="19">
        <v>12</v>
      </c>
      <c r="AF230" s="355">
        <f>14.5*9.81</f>
        <v>142.245</v>
      </c>
      <c r="AI230" s="64" t="str">
        <f t="shared" si="63"/>
        <v>Spleitex36mm</v>
      </c>
      <c r="AJ230" t="s">
        <v>114</v>
      </c>
      <c r="AK230" s="19" t="s">
        <v>366</v>
      </c>
      <c r="AL230" s="316" t="s">
        <v>412</v>
      </c>
      <c r="AM230"/>
      <c r="AY230" s="64" t="str">
        <f t="shared" si="58"/>
        <v>GevlochtenDyneema12</v>
      </c>
      <c r="AZ230" s="438" t="str">
        <f t="shared" si="62"/>
        <v>GevlochtenDyneema</v>
      </c>
      <c r="BA230" s="19">
        <v>12</v>
      </c>
      <c r="BB230" s="355">
        <f>14.5*9.81</f>
        <v>142.245</v>
      </c>
      <c r="BC230" s="19"/>
    </row>
    <row r="231" spans="29:55" x14ac:dyDescent="0.25">
      <c r="AC231" s="64" t="str">
        <f t="shared" si="64"/>
        <v>Dyn Q1 Gevl.Dyneema13</v>
      </c>
      <c r="AD231" t="str">
        <f t="shared" si="61"/>
        <v>Dyn Q1 Gevl.Dyneema</v>
      </c>
      <c r="AE231" s="19">
        <v>13</v>
      </c>
      <c r="AF231" s="356" t="s">
        <v>412</v>
      </c>
      <c r="AI231" s="64" t="str">
        <f t="shared" ref="AI231" si="65">+AJ231&amp;AK231</f>
        <v>Spleitex38mm</v>
      </c>
      <c r="AJ231" t="s">
        <v>114</v>
      </c>
      <c r="AK231" s="19" t="s">
        <v>885</v>
      </c>
      <c r="AL231" s="316" t="s">
        <v>412</v>
      </c>
      <c r="AM231"/>
      <c r="AY231" s="64" t="str">
        <f t="shared" si="58"/>
        <v>GevlochtenDyneema13</v>
      </c>
      <c r="AZ231" s="438" t="str">
        <f t="shared" si="62"/>
        <v>GevlochtenDyneema</v>
      </c>
      <c r="BA231" s="19">
        <v>13</v>
      </c>
      <c r="BB231" s="356" t="s">
        <v>412</v>
      </c>
      <c r="BC231" s="19"/>
    </row>
    <row r="232" spans="29:55" x14ac:dyDescent="0.25">
      <c r="AC232" s="64" t="str">
        <f t="shared" si="64"/>
        <v>Dyn Q1 Gevl.Dyneema14</v>
      </c>
      <c r="AD232" t="str">
        <f t="shared" si="61"/>
        <v>Dyn Q1 Gevl.Dyneema</v>
      </c>
      <c r="AE232" s="19">
        <v>14</v>
      </c>
      <c r="AF232" s="355">
        <f>18.1*9.81</f>
        <v>177.56100000000004</v>
      </c>
      <c r="AI232" s="64" t="str">
        <f t="shared" ref="AI232:AI250" si="66">+AJ232&amp;AK232</f>
        <v>Spleitex44mm</v>
      </c>
      <c r="AJ232" t="s">
        <v>114</v>
      </c>
      <c r="AK232" s="19" t="s">
        <v>367</v>
      </c>
      <c r="AL232" s="316" t="s">
        <v>412</v>
      </c>
      <c r="AM232"/>
      <c r="AY232" s="64" t="str">
        <f t="shared" si="58"/>
        <v>GevlochtenDyneema14</v>
      </c>
      <c r="AZ232" s="438" t="str">
        <f t="shared" si="62"/>
        <v>GevlochtenDyneema</v>
      </c>
      <c r="BA232" s="19">
        <v>14</v>
      </c>
      <c r="BB232" s="355">
        <f>18.1*9.81</f>
        <v>177.56100000000004</v>
      </c>
      <c r="BC232" s="19"/>
    </row>
    <row r="233" spans="29:55" x14ac:dyDescent="0.25">
      <c r="AC233" s="64" t="str">
        <f t="shared" si="64"/>
        <v>Dyn Q1 Gevl.Dyneema15</v>
      </c>
      <c r="AD233" t="str">
        <f t="shared" si="61"/>
        <v>Dyn Q1 Gevl.Dyneema</v>
      </c>
      <c r="AE233" s="19">
        <v>15</v>
      </c>
      <c r="AF233" s="356" t="s">
        <v>412</v>
      </c>
      <c r="AI233" s="64" t="str">
        <f t="shared" si="66"/>
        <v>Spleitex48mm</v>
      </c>
      <c r="AJ233" t="s">
        <v>114</v>
      </c>
      <c r="AK233" s="19" t="s">
        <v>368</v>
      </c>
      <c r="AL233" s="316" t="s">
        <v>412</v>
      </c>
      <c r="AM233"/>
      <c r="AY233" s="64" t="str">
        <f t="shared" si="58"/>
        <v>GevlochtenDyneema15</v>
      </c>
      <c r="AZ233" s="438" t="str">
        <f t="shared" si="62"/>
        <v>GevlochtenDyneema</v>
      </c>
      <c r="BA233" s="19">
        <v>15</v>
      </c>
      <c r="BB233" s="356" t="s">
        <v>412</v>
      </c>
      <c r="BC233" s="19"/>
    </row>
    <row r="234" spans="29:55" x14ac:dyDescent="0.25">
      <c r="AC234" s="64" t="str">
        <f t="shared" si="64"/>
        <v>Dyn Q1 Gevl.Dyneema16</v>
      </c>
      <c r="AD234" t="str">
        <f t="shared" si="61"/>
        <v>Dyn Q1 Gevl.Dyneema</v>
      </c>
      <c r="AE234" s="19">
        <v>16</v>
      </c>
      <c r="AF234" s="355">
        <f>21.2*9.81</f>
        <v>207.97200000000001</v>
      </c>
      <c r="AI234" s="64" t="str">
        <f t="shared" si="66"/>
        <v>Spleitex50mm</v>
      </c>
      <c r="AJ234" t="s">
        <v>114</v>
      </c>
      <c r="AK234" s="19" t="s">
        <v>886</v>
      </c>
      <c r="AL234" s="316" t="s">
        <v>412</v>
      </c>
      <c r="AM234"/>
      <c r="AY234" s="64" t="str">
        <f t="shared" si="58"/>
        <v>GevlochtenDyneema16</v>
      </c>
      <c r="AZ234" s="438" t="str">
        <f t="shared" si="62"/>
        <v>GevlochtenDyneema</v>
      </c>
      <c r="BA234" s="19">
        <v>16</v>
      </c>
      <c r="BB234" s="355">
        <f>21.2*9.81</f>
        <v>207.97200000000001</v>
      </c>
      <c r="BC234" s="19"/>
    </row>
    <row r="235" spans="29:55" x14ac:dyDescent="0.25">
      <c r="AC235" s="64" t="str">
        <f t="shared" si="64"/>
        <v>Dyn Q1 Gevl.Dyneema17</v>
      </c>
      <c r="AD235" t="str">
        <f t="shared" si="61"/>
        <v>Dyn Q1 Gevl.Dyneema</v>
      </c>
      <c r="AE235" s="19">
        <v>17</v>
      </c>
      <c r="AF235" s="356" t="s">
        <v>412</v>
      </c>
      <c r="AI235" s="64" t="str">
        <f t="shared" si="66"/>
        <v>Spleitex52mm</v>
      </c>
      <c r="AJ235" t="s">
        <v>114</v>
      </c>
      <c r="AK235" s="19" t="s">
        <v>369</v>
      </c>
      <c r="AL235" s="316" t="s">
        <v>412</v>
      </c>
      <c r="AM235"/>
      <c r="AY235" s="64" t="str">
        <f t="shared" si="58"/>
        <v>GevlochtenDyneema17</v>
      </c>
      <c r="AZ235" s="438" t="str">
        <f t="shared" si="62"/>
        <v>GevlochtenDyneema</v>
      </c>
      <c r="BA235" s="19">
        <v>17</v>
      </c>
      <c r="BB235" s="356" t="s">
        <v>412</v>
      </c>
      <c r="BC235" s="19"/>
    </row>
    <row r="236" spans="29:55" x14ac:dyDescent="0.25">
      <c r="AC236" s="64" t="str">
        <f t="shared" si="64"/>
        <v>Dyn Q1 Gevl.Dyneema18</v>
      </c>
      <c r="AD236" t="str">
        <f t="shared" si="61"/>
        <v>Dyn Q1 Gevl.Dyneema</v>
      </c>
      <c r="AE236" s="19">
        <v>18</v>
      </c>
      <c r="AF236" s="355">
        <f>30*9.81</f>
        <v>294.3</v>
      </c>
      <c r="AI236" s="64" t="str">
        <f t="shared" si="66"/>
        <v>Spleitex1/4"</v>
      </c>
      <c r="AJ236" t="s">
        <v>114</v>
      </c>
      <c r="AK236" s="309" t="s">
        <v>346</v>
      </c>
      <c r="AL236" s="316" t="s">
        <v>412</v>
      </c>
      <c r="AM236"/>
      <c r="AY236" s="64" t="str">
        <f t="shared" si="58"/>
        <v>GevlochtenDyneema18</v>
      </c>
      <c r="AZ236" s="438" t="str">
        <f t="shared" si="62"/>
        <v>GevlochtenDyneema</v>
      </c>
      <c r="BA236" s="19">
        <v>18</v>
      </c>
      <c r="BB236" s="355">
        <f>30*9.81</f>
        <v>294.3</v>
      </c>
      <c r="BC236" s="19"/>
    </row>
    <row r="237" spans="29:55" x14ac:dyDescent="0.25">
      <c r="AC237" s="64" t="str">
        <f t="shared" si="64"/>
        <v>Dyn Q1 Gevl.Dyneema19</v>
      </c>
      <c r="AD237" t="str">
        <f t="shared" si="61"/>
        <v>Dyn Q1 Gevl.Dyneema</v>
      </c>
      <c r="AE237" s="19">
        <v>19</v>
      </c>
      <c r="AF237" s="356" t="s">
        <v>412</v>
      </c>
      <c r="AI237" s="64" t="str">
        <f t="shared" si="66"/>
        <v>Spleitex5/16"</v>
      </c>
      <c r="AJ237" t="s">
        <v>114</v>
      </c>
      <c r="AK237" s="309" t="s">
        <v>347</v>
      </c>
      <c r="AL237" s="316" t="s">
        <v>412</v>
      </c>
      <c r="AM237"/>
      <c r="AY237" s="64" t="str">
        <f t="shared" si="58"/>
        <v>GevlochtenDyneema19</v>
      </c>
      <c r="AZ237" s="438" t="str">
        <f t="shared" si="62"/>
        <v>GevlochtenDyneema</v>
      </c>
      <c r="BA237" s="19">
        <v>19</v>
      </c>
      <c r="BB237" s="356" t="s">
        <v>412</v>
      </c>
      <c r="BC237" s="19"/>
    </row>
    <row r="238" spans="29:55" x14ac:dyDescent="0.25">
      <c r="AC238" s="64" t="str">
        <f t="shared" si="64"/>
        <v>Dyn Q1 Gevl.Dyneema20</v>
      </c>
      <c r="AD238" t="str">
        <f t="shared" si="61"/>
        <v>Dyn Q1 Gevl.Dyneema</v>
      </c>
      <c r="AE238" s="19">
        <v>20</v>
      </c>
      <c r="AF238" s="355" t="s">
        <v>412</v>
      </c>
      <c r="AI238" s="64" t="str">
        <f t="shared" si="66"/>
        <v>Spleitex3/8"</v>
      </c>
      <c r="AJ238" t="s">
        <v>114</v>
      </c>
      <c r="AK238" s="310" t="s">
        <v>348</v>
      </c>
      <c r="AL238" s="316" t="s">
        <v>412</v>
      </c>
      <c r="AM238"/>
      <c r="AY238" s="64" t="str">
        <f t="shared" si="58"/>
        <v>GevlochtenDyneema20</v>
      </c>
      <c r="AZ238" s="438" t="str">
        <f t="shared" si="62"/>
        <v>GevlochtenDyneema</v>
      </c>
      <c r="BA238" s="19">
        <v>20</v>
      </c>
      <c r="BB238" s="355" t="s">
        <v>412</v>
      </c>
      <c r="BC238" s="19"/>
    </row>
    <row r="239" spans="29:55" x14ac:dyDescent="0.25">
      <c r="AC239" s="64" t="str">
        <f>AD239&amp;AE239</f>
        <v>Dyn Q1 Gevl.Dyneema22</v>
      </c>
      <c r="AD239" t="str">
        <f>$AD$221</f>
        <v>Dyn Q1 Gevl.Dyneema</v>
      </c>
      <c r="AE239" s="19">
        <v>22</v>
      </c>
      <c r="AF239" s="356">
        <f>36*9.81</f>
        <v>353.16</v>
      </c>
      <c r="AI239" s="64" t="str">
        <f t="shared" si="66"/>
        <v>Spleitex7/16"</v>
      </c>
      <c r="AJ239" t="s">
        <v>114</v>
      </c>
      <c r="AK239" s="310" t="s">
        <v>349</v>
      </c>
      <c r="AL239" s="316" t="s">
        <v>412</v>
      </c>
      <c r="AM239"/>
      <c r="AY239" s="64" t="str">
        <f>AZ239&amp;BA239</f>
        <v>GevlochtenDyneema22</v>
      </c>
      <c r="AZ239" s="438" t="str">
        <f t="shared" si="62"/>
        <v>GevlochtenDyneema</v>
      </c>
      <c r="BA239" s="19">
        <v>22</v>
      </c>
      <c r="BB239" s="356">
        <f>36*9.81</f>
        <v>353.16</v>
      </c>
      <c r="BC239" s="19"/>
    </row>
    <row r="240" spans="29:55" x14ac:dyDescent="0.25">
      <c r="AC240" s="64" t="str">
        <f>AD240&amp;AE240</f>
        <v>Dyn Q1 Gevl.Dyneema24</v>
      </c>
      <c r="AD240" t="str">
        <f>$AD$221</f>
        <v>Dyn Q1 Gevl.Dyneema</v>
      </c>
      <c r="AE240" s="19">
        <v>24</v>
      </c>
      <c r="AF240" s="356" t="s">
        <v>412</v>
      </c>
      <c r="AI240" s="64" t="str">
        <f t="shared" si="66"/>
        <v>Spleitex1/2"</v>
      </c>
      <c r="AJ240" t="s">
        <v>114</v>
      </c>
      <c r="AK240" s="310" t="s">
        <v>350</v>
      </c>
      <c r="AL240" s="316" t="s">
        <v>412</v>
      </c>
      <c r="AM240"/>
      <c r="AY240" s="64" t="str">
        <f>AZ240&amp;BA240</f>
        <v>GevlochtenDyneema24</v>
      </c>
      <c r="AZ240" s="438" t="str">
        <f t="shared" si="62"/>
        <v>GevlochtenDyneema</v>
      </c>
      <c r="BA240" s="19">
        <v>24</v>
      </c>
      <c r="BB240" s="356" t="s">
        <v>412</v>
      </c>
      <c r="BC240" s="19"/>
    </row>
    <row r="241" spans="29:55" x14ac:dyDescent="0.25">
      <c r="AC241" s="64" t="str">
        <f>AD241&amp;AE241</f>
        <v>Dyn Q1 Gevl.Dyneema26</v>
      </c>
      <c r="AD241" t="str">
        <f>$AD$221</f>
        <v>Dyn Q1 Gevl.Dyneema</v>
      </c>
      <c r="AE241" s="19">
        <v>26</v>
      </c>
      <c r="AF241" s="356" t="s">
        <v>412</v>
      </c>
      <c r="AI241" s="64" t="str">
        <f t="shared" si="66"/>
        <v>Spleitex5/8"</v>
      </c>
      <c r="AJ241" t="s">
        <v>114</v>
      </c>
      <c r="AK241" s="310" t="s">
        <v>351</v>
      </c>
      <c r="AL241" s="316" t="s">
        <v>412</v>
      </c>
      <c r="AM241"/>
      <c r="AY241" s="64" t="str">
        <f>AZ241&amp;BA241</f>
        <v>GevlochtenDyneema26</v>
      </c>
      <c r="AZ241" s="438" t="str">
        <f t="shared" si="62"/>
        <v>GevlochtenDyneema</v>
      </c>
      <c r="BA241" s="19">
        <v>26</v>
      </c>
      <c r="BB241" s="356" t="s">
        <v>412</v>
      </c>
      <c r="BC241" s="19"/>
    </row>
    <row r="242" spans="29:55" x14ac:dyDescent="0.25">
      <c r="AC242" s="64" t="str">
        <f>AD242&amp;AE242</f>
        <v>Dyn Q1 Gevl.Dyneema28</v>
      </c>
      <c r="AD242" t="str">
        <f>$AD$221</f>
        <v>Dyn Q1 Gevl.Dyneema</v>
      </c>
      <c r="AE242" s="19">
        <v>28</v>
      </c>
      <c r="AF242" s="356" t="s">
        <v>412</v>
      </c>
      <c r="AI242" s="64" t="str">
        <f t="shared" si="66"/>
        <v>Spleitex3/4"</v>
      </c>
      <c r="AJ242" t="s">
        <v>114</v>
      </c>
      <c r="AK242" s="310" t="s">
        <v>352</v>
      </c>
      <c r="AL242" s="316" t="s">
        <v>412</v>
      </c>
      <c r="AM242"/>
      <c r="AY242" s="64" t="str">
        <f>AZ242&amp;BA242</f>
        <v>GevlochtenDyneema28</v>
      </c>
      <c r="AZ242" s="438" t="str">
        <f t="shared" si="62"/>
        <v>GevlochtenDyneema</v>
      </c>
      <c r="BA242" s="19">
        <v>28</v>
      </c>
      <c r="BB242" s="356" t="s">
        <v>412</v>
      </c>
      <c r="BC242" s="19"/>
    </row>
    <row r="243" spans="29:55" x14ac:dyDescent="0.25">
      <c r="AC243" s="64" t="str">
        <f>AD243&amp;AE243</f>
        <v>Dyn Q1 Gevl.Dyneema30</v>
      </c>
      <c r="AD243" t="str">
        <f>$AD$221</f>
        <v>Dyn Q1 Gevl.Dyneema</v>
      </c>
      <c r="AE243" s="379">
        <v>30</v>
      </c>
      <c r="AF243" s="356" t="s">
        <v>412</v>
      </c>
      <c r="AI243" s="64" t="str">
        <f t="shared" si="66"/>
        <v>Spleitex7/8"</v>
      </c>
      <c r="AJ243" t="s">
        <v>114</v>
      </c>
      <c r="AK243" s="310" t="s">
        <v>353</v>
      </c>
      <c r="AL243" s="316" t="s">
        <v>412</v>
      </c>
      <c r="AM243"/>
      <c r="AY243" s="64" t="str">
        <f>AZ243&amp;BA243</f>
        <v>GevlochtenDyneema30</v>
      </c>
      <c r="AZ243" s="438" t="str">
        <f t="shared" si="62"/>
        <v>GevlochtenDyneema</v>
      </c>
      <c r="BA243" s="379">
        <v>30</v>
      </c>
      <c r="BB243" s="356" t="s">
        <v>412</v>
      </c>
      <c r="BC243" s="19"/>
    </row>
    <row r="244" spans="29:55" x14ac:dyDescent="0.25">
      <c r="AC244" s="373" t="str">
        <f t="shared" ref="AC244:AC261" si="67">AD244&amp;AE244</f>
        <v>7x7RVS (AISI316)3</v>
      </c>
      <c r="AD244" s="374" t="str">
        <f>AD6&amp;AC6</f>
        <v>7x7RVS (AISI316)</v>
      </c>
      <c r="AE244" s="63">
        <v>3</v>
      </c>
      <c r="AF244" s="375">
        <v>5.03</v>
      </c>
      <c r="AI244" s="64" t="str">
        <f t="shared" si="66"/>
        <v>Spleitex1"</v>
      </c>
      <c r="AJ244" t="s">
        <v>114</v>
      </c>
      <c r="AK244" s="310" t="s">
        <v>354</v>
      </c>
      <c r="AL244" s="316" t="s">
        <v>412</v>
      </c>
      <c r="AM244"/>
      <c r="AY244" s="373" t="str">
        <f t="shared" ref="AY244:AY307" si="68">AZ244&amp;BA244</f>
        <v>7x7RVS (AISI316)3</v>
      </c>
      <c r="AZ244" s="437" t="str">
        <f>AZ5&amp;AY6</f>
        <v>7x7RVS (AISI316)</v>
      </c>
      <c r="BA244" s="63">
        <v>3</v>
      </c>
      <c r="BB244" s="375">
        <v>5.03</v>
      </c>
      <c r="BC244" s="63"/>
    </row>
    <row r="245" spans="29:55" x14ac:dyDescent="0.25">
      <c r="AC245" s="64" t="str">
        <f t="shared" si="67"/>
        <v>7x7RVS (AISI316)4</v>
      </c>
      <c r="AD245" t="str">
        <f t="shared" ref="AD245:AD261" si="69">$AD$244</f>
        <v>7x7RVS (AISI316)</v>
      </c>
      <c r="AE245" s="19">
        <v>4</v>
      </c>
      <c r="AF245" s="356">
        <v>8.94</v>
      </c>
      <c r="AI245" s="64" t="str">
        <f t="shared" si="66"/>
        <v>Spleitex1 1/8"</v>
      </c>
      <c r="AJ245" t="s">
        <v>114</v>
      </c>
      <c r="AK245" s="310" t="s">
        <v>355</v>
      </c>
      <c r="AL245" s="316" t="s">
        <v>412</v>
      </c>
      <c r="AM245"/>
      <c r="AY245" s="64" t="str">
        <f t="shared" si="68"/>
        <v>7x7RVS (AISI316)4</v>
      </c>
      <c r="AZ245" t="str">
        <f t="shared" ref="AZ245:AZ261" si="70">$AD$244</f>
        <v>7x7RVS (AISI316)</v>
      </c>
      <c r="BA245" s="19">
        <v>4</v>
      </c>
      <c r="BB245" s="356">
        <v>8.94</v>
      </c>
      <c r="BC245" s="19"/>
    </row>
    <row r="246" spans="29:55" x14ac:dyDescent="0.25">
      <c r="AC246" s="64" t="str">
        <f t="shared" si="67"/>
        <v>7x7RVS (AISI316)5</v>
      </c>
      <c r="AD246" t="str">
        <f t="shared" si="69"/>
        <v>7x7RVS (AISI316)</v>
      </c>
      <c r="AE246" s="19">
        <v>5</v>
      </c>
      <c r="AF246" s="356">
        <v>14</v>
      </c>
      <c r="AI246" s="64" t="str">
        <f t="shared" si="66"/>
        <v>Spleitex1 1/4"</v>
      </c>
      <c r="AJ246" t="s">
        <v>114</v>
      </c>
      <c r="AK246" s="310" t="s">
        <v>356</v>
      </c>
      <c r="AL246" s="316" t="s">
        <v>412</v>
      </c>
      <c r="AM246"/>
      <c r="AY246" s="64" t="str">
        <f t="shared" si="68"/>
        <v>7x7RVS (AISI316)5</v>
      </c>
      <c r="AZ246" t="str">
        <f t="shared" si="70"/>
        <v>7x7RVS (AISI316)</v>
      </c>
      <c r="BA246" s="19">
        <v>5</v>
      </c>
      <c r="BB246" s="356">
        <v>14</v>
      </c>
      <c r="BC246" s="19"/>
    </row>
    <row r="247" spans="29:55" x14ac:dyDescent="0.25">
      <c r="AC247" s="64" t="str">
        <f t="shared" si="67"/>
        <v>7x7RVS (AISI316)6</v>
      </c>
      <c r="AD247" t="str">
        <f t="shared" si="69"/>
        <v>7x7RVS (AISI316)</v>
      </c>
      <c r="AE247" s="19">
        <v>6</v>
      </c>
      <c r="AF247" s="356">
        <v>20.100000000000001</v>
      </c>
      <c r="AI247" s="64" t="str">
        <f t="shared" si="66"/>
        <v>Spleitex1 1/2"</v>
      </c>
      <c r="AJ247" t="s">
        <v>114</v>
      </c>
      <c r="AK247" s="310" t="s">
        <v>357</v>
      </c>
      <c r="AL247" s="316" t="s">
        <v>412</v>
      </c>
      <c r="AM247"/>
      <c r="AY247" s="64" t="str">
        <f t="shared" si="68"/>
        <v>7x7RVS (AISI316)6</v>
      </c>
      <c r="AZ247" t="str">
        <f t="shared" si="70"/>
        <v>7x7RVS (AISI316)</v>
      </c>
      <c r="BA247" s="19">
        <v>6</v>
      </c>
      <c r="BB247" s="356">
        <v>20.100000000000001</v>
      </c>
      <c r="BC247" s="19"/>
    </row>
    <row r="248" spans="29:55" x14ac:dyDescent="0.25">
      <c r="AC248" s="64" t="str">
        <f t="shared" si="67"/>
        <v>7x7RVS (AISI316)7</v>
      </c>
      <c r="AD248" t="str">
        <f t="shared" si="69"/>
        <v>7x7RVS (AISI316)</v>
      </c>
      <c r="AE248" s="19">
        <v>7</v>
      </c>
      <c r="AF248" s="356">
        <v>27.4</v>
      </c>
      <c r="AI248" s="64" t="str">
        <f t="shared" si="66"/>
        <v>Spleitex1 3/4"</v>
      </c>
      <c r="AJ248" t="s">
        <v>114</v>
      </c>
      <c r="AK248" s="310" t="s">
        <v>358</v>
      </c>
      <c r="AL248" s="316" t="s">
        <v>412</v>
      </c>
      <c r="AM248"/>
      <c r="AY248" s="64" t="str">
        <f t="shared" si="68"/>
        <v>7x7RVS (AISI316)7</v>
      </c>
      <c r="AZ248" t="str">
        <f t="shared" si="70"/>
        <v>7x7RVS (AISI316)</v>
      </c>
      <c r="BA248" s="19">
        <v>7</v>
      </c>
      <c r="BB248" s="356">
        <v>27.4</v>
      </c>
      <c r="BC248" s="19"/>
    </row>
    <row r="249" spans="29:55" x14ac:dyDescent="0.25">
      <c r="AC249" s="64" t="str">
        <f t="shared" si="67"/>
        <v>7x7RVS (AISI316)8</v>
      </c>
      <c r="AD249" t="str">
        <f t="shared" si="69"/>
        <v>7x7RVS (AISI316)</v>
      </c>
      <c r="AE249" s="19">
        <v>8</v>
      </c>
      <c r="AF249" s="355">
        <v>35.799999999999997</v>
      </c>
      <c r="AI249" s="64" t="str">
        <f t="shared" si="66"/>
        <v>Spleitex2"</v>
      </c>
      <c r="AJ249" s="312" t="s">
        <v>114</v>
      </c>
      <c r="AK249" s="310" t="s">
        <v>359</v>
      </c>
      <c r="AL249" s="316" t="s">
        <v>412</v>
      </c>
      <c r="AM249"/>
      <c r="AY249" s="64" t="str">
        <f t="shared" si="68"/>
        <v>7x7RVS (AISI316)8</v>
      </c>
      <c r="AZ249" t="str">
        <f t="shared" si="70"/>
        <v>7x7RVS (AISI316)</v>
      </c>
      <c r="BA249" s="19">
        <v>8</v>
      </c>
      <c r="BB249" s="355">
        <v>35.799999999999997</v>
      </c>
      <c r="BC249" s="19"/>
    </row>
    <row r="250" spans="29:55" x14ac:dyDescent="0.25">
      <c r="AC250" s="64" t="str">
        <f t="shared" si="67"/>
        <v>7x7RVS (AISI316)9</v>
      </c>
      <c r="AD250" t="str">
        <f t="shared" si="69"/>
        <v>7x7RVS (AISI316)</v>
      </c>
      <c r="AE250" s="19">
        <v>9</v>
      </c>
      <c r="AF250" s="356" t="s">
        <v>412</v>
      </c>
      <c r="AI250" s="62" t="str">
        <f t="shared" si="66"/>
        <v>Polyester8mm</v>
      </c>
      <c r="AJ250" s="66" t="s">
        <v>84</v>
      </c>
      <c r="AK250" s="63" t="s">
        <v>607</v>
      </c>
      <c r="AL250" s="329">
        <f>1.6*9.81</f>
        <v>15.696000000000002</v>
      </c>
      <c r="AM250"/>
      <c r="AY250" s="64" t="str">
        <f t="shared" si="68"/>
        <v>7x7RVS (AISI316)9</v>
      </c>
      <c r="AZ250" t="str">
        <f t="shared" si="70"/>
        <v>7x7RVS (AISI316)</v>
      </c>
      <c r="BA250" s="19">
        <v>9</v>
      </c>
      <c r="BB250" s="356" t="s">
        <v>412</v>
      </c>
      <c r="BC250" s="19"/>
    </row>
    <row r="251" spans="29:55" x14ac:dyDescent="0.25">
      <c r="AC251" s="64" t="str">
        <f t="shared" si="67"/>
        <v>7x7RVS (AISI316)10</v>
      </c>
      <c r="AD251" t="str">
        <f t="shared" si="69"/>
        <v>7x7RVS (AISI316)</v>
      </c>
      <c r="AE251" s="19">
        <v>10</v>
      </c>
      <c r="AF251" s="355">
        <v>55.9</v>
      </c>
      <c r="AI251" s="64" t="str">
        <f t="shared" ref="AI251:AI260" si="71">+AJ251&amp;AK251</f>
        <v>Polyester10mm</v>
      </c>
      <c r="AJ251" t="s">
        <v>84</v>
      </c>
      <c r="AK251" s="19" t="s">
        <v>606</v>
      </c>
      <c r="AL251" s="327">
        <f>2.25*9.81</f>
        <v>22.072500000000002</v>
      </c>
      <c r="AM251"/>
      <c r="AY251" s="64" t="str">
        <f t="shared" si="68"/>
        <v>7x7RVS (AISI316)10</v>
      </c>
      <c r="AZ251" t="str">
        <f t="shared" si="70"/>
        <v>7x7RVS (AISI316)</v>
      </c>
      <c r="BA251" s="19">
        <v>10</v>
      </c>
      <c r="BB251" s="355">
        <v>55.9</v>
      </c>
      <c r="BC251" s="19"/>
    </row>
    <row r="252" spans="29:55" x14ac:dyDescent="0.25">
      <c r="AC252" s="64" t="str">
        <f t="shared" si="67"/>
        <v>7x7RVS (AISI316)11</v>
      </c>
      <c r="AD252" t="str">
        <f t="shared" si="69"/>
        <v>7x7RVS (AISI316)</v>
      </c>
      <c r="AE252" s="19">
        <v>11</v>
      </c>
      <c r="AF252" s="356" t="s">
        <v>412</v>
      </c>
      <c r="AI252" s="64" t="str">
        <f t="shared" si="71"/>
        <v>Polyester12mm</v>
      </c>
      <c r="AJ252" t="s">
        <v>84</v>
      </c>
      <c r="AK252" s="19" t="s">
        <v>605</v>
      </c>
      <c r="AL252" s="327">
        <f>3.3*9.81</f>
        <v>32.372999999999998</v>
      </c>
      <c r="AM252"/>
      <c r="AY252" s="64" t="str">
        <f t="shared" si="68"/>
        <v>7x7RVS (AISI316)11</v>
      </c>
      <c r="AZ252" t="str">
        <f t="shared" si="70"/>
        <v>7x7RVS (AISI316)</v>
      </c>
      <c r="BA252" s="19">
        <v>11</v>
      </c>
      <c r="BB252" s="356" t="s">
        <v>412</v>
      </c>
      <c r="BC252" s="19"/>
    </row>
    <row r="253" spans="29:55" x14ac:dyDescent="0.25">
      <c r="AC253" s="64" t="str">
        <f t="shared" si="67"/>
        <v>7x7RVS (AISI316)12</v>
      </c>
      <c r="AD253" t="str">
        <f t="shared" si="69"/>
        <v>7x7RVS (AISI316)</v>
      </c>
      <c r="AE253" s="19">
        <v>12</v>
      </c>
      <c r="AF253" s="355">
        <v>81.099999999999994</v>
      </c>
      <c r="AI253" s="64" t="str">
        <f t="shared" si="71"/>
        <v>Polyester14mm</v>
      </c>
      <c r="AJ253" t="s">
        <v>84</v>
      </c>
      <c r="AK253" s="19" t="s">
        <v>604</v>
      </c>
      <c r="AL253" s="328" t="s">
        <v>412</v>
      </c>
      <c r="AM253"/>
      <c r="AY253" s="64" t="str">
        <f t="shared" si="68"/>
        <v>7x7RVS (AISI316)12</v>
      </c>
      <c r="AZ253" t="str">
        <f t="shared" si="70"/>
        <v>7x7RVS (AISI316)</v>
      </c>
      <c r="BA253" s="19">
        <v>12</v>
      </c>
      <c r="BB253" s="355">
        <v>81.099999999999994</v>
      </c>
      <c r="BC253" s="19"/>
    </row>
    <row r="254" spans="29:55" x14ac:dyDescent="0.25">
      <c r="AC254" s="64" t="str">
        <f t="shared" si="67"/>
        <v>7x7RVS (AISI316)13</v>
      </c>
      <c r="AD254" t="str">
        <f t="shared" si="69"/>
        <v>7x7RVS (AISI316)</v>
      </c>
      <c r="AE254" s="19">
        <v>13</v>
      </c>
      <c r="AF254" s="356" t="s">
        <v>412</v>
      </c>
      <c r="AI254" s="64" t="str">
        <f t="shared" si="71"/>
        <v>Polyester16mm</v>
      </c>
      <c r="AJ254" t="s">
        <v>84</v>
      </c>
      <c r="AK254" s="19" t="s">
        <v>603</v>
      </c>
      <c r="AL254" s="327">
        <f>5.4*9.81</f>
        <v>52.974000000000004</v>
      </c>
      <c r="AM254"/>
      <c r="AY254" s="64" t="str">
        <f t="shared" si="68"/>
        <v>7x7RVS (AISI316)13</v>
      </c>
      <c r="AZ254" t="str">
        <f t="shared" si="70"/>
        <v>7x7RVS (AISI316)</v>
      </c>
      <c r="BA254" s="19">
        <v>13</v>
      </c>
      <c r="BB254" s="356" t="s">
        <v>412</v>
      </c>
      <c r="BC254" s="19"/>
    </row>
    <row r="255" spans="29:55" x14ac:dyDescent="0.25">
      <c r="AC255" s="64" t="str">
        <f t="shared" si="67"/>
        <v>7x7RVS (AISI316)14</v>
      </c>
      <c r="AD255" t="str">
        <f t="shared" si="69"/>
        <v>7x7RVS (AISI316)</v>
      </c>
      <c r="AE255" s="19">
        <v>14</v>
      </c>
      <c r="AF255" s="355">
        <f>11.2*9.81</f>
        <v>109.872</v>
      </c>
      <c r="AI255" s="64" t="str">
        <f t="shared" si="71"/>
        <v>Polyester18mm</v>
      </c>
      <c r="AJ255" t="s">
        <v>84</v>
      </c>
      <c r="AK255" s="19" t="s">
        <v>360</v>
      </c>
      <c r="AL255" s="327">
        <f>6.3*9.81</f>
        <v>61.803000000000004</v>
      </c>
      <c r="AM255"/>
      <c r="AY255" s="64" t="str">
        <f t="shared" si="68"/>
        <v>7x7RVS (AISI316)14</v>
      </c>
      <c r="AZ255" t="str">
        <f t="shared" si="70"/>
        <v>7x7RVS (AISI316)</v>
      </c>
      <c r="BA255" s="19">
        <v>14</v>
      </c>
      <c r="BB255" s="355">
        <f>11.2*9.81</f>
        <v>109.872</v>
      </c>
      <c r="BC255" s="19"/>
    </row>
    <row r="256" spans="29:55" x14ac:dyDescent="0.25">
      <c r="AC256" s="64" t="str">
        <f t="shared" si="67"/>
        <v>7x7RVS (AISI316)15</v>
      </c>
      <c r="AD256" t="str">
        <f t="shared" si="69"/>
        <v>7x7RVS (AISI316)</v>
      </c>
      <c r="AE256" s="19">
        <v>15</v>
      </c>
      <c r="AF256" s="356" t="s">
        <v>412</v>
      </c>
      <c r="AI256" s="64" t="str">
        <f t="shared" si="71"/>
        <v>Polyester19mm</v>
      </c>
      <c r="AJ256" t="s">
        <v>84</v>
      </c>
      <c r="AK256" s="19" t="s">
        <v>624</v>
      </c>
      <c r="AL256" s="328" t="s">
        <v>412</v>
      </c>
      <c r="AM256"/>
      <c r="AY256" s="64" t="str">
        <f t="shared" si="68"/>
        <v>7x7RVS (AISI316)15</v>
      </c>
      <c r="AZ256" t="str">
        <f t="shared" si="70"/>
        <v>7x7RVS (AISI316)</v>
      </c>
      <c r="BA256" s="19">
        <v>15</v>
      </c>
      <c r="BB256" s="356" t="s">
        <v>412</v>
      </c>
      <c r="BC256" s="19"/>
    </row>
    <row r="257" spans="29:55" x14ac:dyDescent="0.25">
      <c r="AC257" s="64" t="str">
        <f t="shared" si="67"/>
        <v>7x7RVS (AISI316)16</v>
      </c>
      <c r="AD257" t="str">
        <f t="shared" si="69"/>
        <v>7x7RVS (AISI316)</v>
      </c>
      <c r="AE257" s="19">
        <v>16</v>
      </c>
      <c r="AF257" s="355">
        <f>14.7*9.81</f>
        <v>144.20699999999999</v>
      </c>
      <c r="AI257" s="64" t="str">
        <f t="shared" si="71"/>
        <v>Polyester20mm</v>
      </c>
      <c r="AJ257" t="s">
        <v>84</v>
      </c>
      <c r="AK257" s="19" t="s">
        <v>623</v>
      </c>
      <c r="AL257" s="328">
        <f>7.2*9.81</f>
        <v>70.632000000000005</v>
      </c>
      <c r="AM257"/>
      <c r="AY257" s="64" t="str">
        <f t="shared" si="68"/>
        <v>7x7RVS (AISI316)16</v>
      </c>
      <c r="AZ257" t="str">
        <f t="shared" si="70"/>
        <v>7x7RVS (AISI316)</v>
      </c>
      <c r="BA257" s="19">
        <v>16</v>
      </c>
      <c r="BB257" s="355">
        <f>14.7*9.81</f>
        <v>144.20699999999999</v>
      </c>
      <c r="BC257" s="19"/>
    </row>
    <row r="258" spans="29:55" x14ac:dyDescent="0.25">
      <c r="AC258" s="64" t="str">
        <f t="shared" si="67"/>
        <v>7x7RVS (AISI316)17</v>
      </c>
      <c r="AD258" t="str">
        <f t="shared" si="69"/>
        <v>7x7RVS (AISI316)</v>
      </c>
      <c r="AE258" s="19">
        <v>17</v>
      </c>
      <c r="AF258" s="356" t="s">
        <v>412</v>
      </c>
      <c r="AI258" s="64" t="str">
        <f t="shared" si="71"/>
        <v>Polyester22mm</v>
      </c>
      <c r="AJ258" t="s">
        <v>84</v>
      </c>
      <c r="AK258" s="19" t="s">
        <v>361</v>
      </c>
      <c r="AL258" s="328" t="s">
        <v>412</v>
      </c>
      <c r="AM258"/>
      <c r="AY258" s="64" t="str">
        <f t="shared" si="68"/>
        <v>7x7RVS (AISI316)17</v>
      </c>
      <c r="AZ258" t="str">
        <f t="shared" si="70"/>
        <v>7x7RVS (AISI316)</v>
      </c>
      <c r="BA258" s="19">
        <v>17</v>
      </c>
      <c r="BB258" s="356" t="s">
        <v>412</v>
      </c>
      <c r="BC258" s="19"/>
    </row>
    <row r="259" spans="29:55" x14ac:dyDescent="0.25">
      <c r="AC259" s="64" t="str">
        <f t="shared" si="67"/>
        <v>7x7RVS (AISI316)18</v>
      </c>
      <c r="AD259" t="str">
        <f t="shared" si="69"/>
        <v>7x7RVS (AISI316)</v>
      </c>
      <c r="AE259" s="19">
        <v>18</v>
      </c>
      <c r="AF259" s="355" t="s">
        <v>412</v>
      </c>
      <c r="AI259" s="64" t="str">
        <f t="shared" si="71"/>
        <v>Polyester24mm</v>
      </c>
      <c r="AJ259" t="s">
        <v>84</v>
      </c>
      <c r="AK259" s="19" t="s">
        <v>362</v>
      </c>
      <c r="AL259" s="328">
        <f>9.291*9.81</f>
        <v>91.144710000000003</v>
      </c>
      <c r="AM259"/>
      <c r="AY259" s="64" t="str">
        <f t="shared" si="68"/>
        <v>7x7RVS (AISI316)18</v>
      </c>
      <c r="AZ259" t="str">
        <f t="shared" si="70"/>
        <v>7x7RVS (AISI316)</v>
      </c>
      <c r="BA259" s="19">
        <v>18</v>
      </c>
      <c r="BB259" s="355" t="s">
        <v>412</v>
      </c>
      <c r="BC259" s="19"/>
    </row>
    <row r="260" spans="29:55" x14ac:dyDescent="0.25">
      <c r="AC260" s="64" t="str">
        <f t="shared" si="67"/>
        <v>7x7RVS (AISI316)19</v>
      </c>
      <c r="AD260" t="str">
        <f t="shared" si="69"/>
        <v>7x7RVS (AISI316)</v>
      </c>
      <c r="AE260" s="19">
        <v>19</v>
      </c>
      <c r="AF260" s="356" t="s">
        <v>412</v>
      </c>
      <c r="AI260" s="64" t="str">
        <f t="shared" si="71"/>
        <v>Polyester26mm</v>
      </c>
      <c r="AJ260" t="s">
        <v>84</v>
      </c>
      <c r="AK260" s="310" t="s">
        <v>629</v>
      </c>
      <c r="AL260" s="328" t="s">
        <v>412</v>
      </c>
      <c r="AM260"/>
      <c r="AY260" s="64" t="str">
        <f t="shared" si="68"/>
        <v>7x7RVS (AISI316)19</v>
      </c>
      <c r="AZ260" t="str">
        <f t="shared" si="70"/>
        <v>7x7RVS (AISI316)</v>
      </c>
      <c r="BA260" s="19">
        <v>19</v>
      </c>
      <c r="BB260" s="356" t="s">
        <v>412</v>
      </c>
      <c r="BC260" s="19"/>
    </row>
    <row r="261" spans="29:55" x14ac:dyDescent="0.25">
      <c r="AC261" s="64" t="str">
        <f t="shared" si="67"/>
        <v>7x7RVS (AISI316)20</v>
      </c>
      <c r="AD261" t="str">
        <f t="shared" si="69"/>
        <v>7x7RVS (AISI316)</v>
      </c>
      <c r="AE261" s="19">
        <v>20</v>
      </c>
      <c r="AF261" s="355" t="s">
        <v>412</v>
      </c>
      <c r="AI261" s="64" t="str">
        <f t="shared" ref="AI261:AI264" si="72">+AJ261&amp;AK261</f>
        <v>Polyester28mm</v>
      </c>
      <c r="AJ261" t="s">
        <v>84</v>
      </c>
      <c r="AK261" s="19" t="s">
        <v>363</v>
      </c>
      <c r="AL261" s="328" t="s">
        <v>412</v>
      </c>
      <c r="AM261"/>
      <c r="AY261" s="64" t="str">
        <f t="shared" si="68"/>
        <v>7x7RVS (AISI316)20</v>
      </c>
      <c r="AZ261" t="str">
        <f t="shared" si="70"/>
        <v>7x7RVS (AISI316)</v>
      </c>
      <c r="BA261" s="19">
        <v>20</v>
      </c>
      <c r="BB261" s="355" t="s">
        <v>412</v>
      </c>
      <c r="BC261" s="19"/>
    </row>
    <row r="262" spans="29:55" x14ac:dyDescent="0.25">
      <c r="AC262" s="64" t="str">
        <f t="shared" ref="AC262:AC267" si="73">AD262&amp;AE262</f>
        <v>7x7RVS (AISI316)22</v>
      </c>
      <c r="AD262" t="str">
        <f>$AD$244</f>
        <v>7x7RVS (AISI316)</v>
      </c>
      <c r="AE262" s="19">
        <v>22</v>
      </c>
      <c r="AF262" s="356" t="s">
        <v>412</v>
      </c>
      <c r="AI262" s="64" t="str">
        <f t="shared" si="72"/>
        <v>Polyester30mm</v>
      </c>
      <c r="AJ262" t="s">
        <v>84</v>
      </c>
      <c r="AK262" s="19" t="s">
        <v>364</v>
      </c>
      <c r="AL262" s="328" t="s">
        <v>412</v>
      </c>
      <c r="AM262"/>
      <c r="AY262" s="64" t="str">
        <f t="shared" si="68"/>
        <v>7x7RVS (AISI316)22</v>
      </c>
      <c r="AZ262" t="str">
        <f>$AD$244</f>
        <v>7x7RVS (AISI316)</v>
      </c>
      <c r="BA262" s="19">
        <v>22</v>
      </c>
      <c r="BB262" s="356" t="s">
        <v>412</v>
      </c>
      <c r="BC262" s="19"/>
    </row>
    <row r="263" spans="29:55" x14ac:dyDescent="0.25">
      <c r="AC263" s="64" t="str">
        <f t="shared" si="73"/>
        <v>7x7RVS (AISI316)24</v>
      </c>
      <c r="AD263" t="str">
        <f>$AD$244</f>
        <v>7x7RVS (AISI316)</v>
      </c>
      <c r="AE263" s="19">
        <v>24</v>
      </c>
      <c r="AF263" s="356" t="s">
        <v>412</v>
      </c>
      <c r="AI263" s="64" t="str">
        <f t="shared" si="72"/>
        <v>Polyester32mm</v>
      </c>
      <c r="AJ263" t="s">
        <v>84</v>
      </c>
      <c r="AK263" s="19" t="s">
        <v>365</v>
      </c>
      <c r="AL263" s="328">
        <f>15.4*9.81</f>
        <v>151.07400000000001</v>
      </c>
      <c r="AM263"/>
      <c r="AY263" s="64" t="str">
        <f t="shared" si="68"/>
        <v>7x7RVS (AISI316)24</v>
      </c>
      <c r="AZ263" t="str">
        <f>$AD$244</f>
        <v>7x7RVS (AISI316)</v>
      </c>
      <c r="BA263" s="19">
        <v>24</v>
      </c>
      <c r="BB263" s="356" t="s">
        <v>412</v>
      </c>
      <c r="BC263" s="19"/>
    </row>
    <row r="264" spans="29:55" x14ac:dyDescent="0.25">
      <c r="AC264" s="64" t="str">
        <f t="shared" si="73"/>
        <v>7x7RVS (AISI316)26</v>
      </c>
      <c r="AD264" t="str">
        <f>$AD$244</f>
        <v>7x7RVS (AISI316)</v>
      </c>
      <c r="AE264" s="19">
        <v>26</v>
      </c>
      <c r="AF264" s="356" t="s">
        <v>412</v>
      </c>
      <c r="AI264" s="64" t="str">
        <f t="shared" si="72"/>
        <v>Polyester36mm</v>
      </c>
      <c r="AJ264" t="s">
        <v>84</v>
      </c>
      <c r="AK264" s="19" t="s">
        <v>366</v>
      </c>
      <c r="AL264" s="316" t="s">
        <v>412</v>
      </c>
      <c r="AM264"/>
      <c r="AY264" s="64" t="str">
        <f t="shared" si="68"/>
        <v>7x7RVS (AISI316)26</v>
      </c>
      <c r="AZ264" t="str">
        <f>$AD$244</f>
        <v>7x7RVS (AISI316)</v>
      </c>
      <c r="BA264" s="19">
        <v>26</v>
      </c>
      <c r="BB264" s="356" t="s">
        <v>412</v>
      </c>
      <c r="BC264" s="19"/>
    </row>
    <row r="265" spans="29:55" x14ac:dyDescent="0.25">
      <c r="AC265" s="64" t="str">
        <f t="shared" si="73"/>
        <v>7x7RVS (AISI316)28</v>
      </c>
      <c r="AD265" t="str">
        <f>$AD$244</f>
        <v>7x7RVS (AISI316)</v>
      </c>
      <c r="AE265" s="19">
        <v>28</v>
      </c>
      <c r="AF265" s="356" t="s">
        <v>412</v>
      </c>
      <c r="AI265" s="64" t="str">
        <f t="shared" ref="AI265" si="74">+AJ265&amp;AK265</f>
        <v>Polyester38mm</v>
      </c>
      <c r="AJ265" t="s">
        <v>84</v>
      </c>
      <c r="AK265" s="19" t="s">
        <v>885</v>
      </c>
      <c r="AL265" s="316" t="s">
        <v>412</v>
      </c>
      <c r="AM265"/>
      <c r="AY265" s="64" t="str">
        <f t="shared" si="68"/>
        <v>7x7RVS (AISI316)28</v>
      </c>
      <c r="AZ265" t="str">
        <f>$AD$244</f>
        <v>7x7RVS (AISI316)</v>
      </c>
      <c r="BA265" s="19">
        <v>28</v>
      </c>
      <c r="BB265" s="356" t="s">
        <v>412</v>
      </c>
      <c r="BC265" s="19"/>
    </row>
    <row r="266" spans="29:55" x14ac:dyDescent="0.25">
      <c r="AC266" s="64" t="str">
        <f t="shared" si="73"/>
        <v>7x7RVS (AISI316)30</v>
      </c>
      <c r="AD266" t="str">
        <f>$AD$244</f>
        <v>7x7RVS (AISI316)</v>
      </c>
      <c r="AE266" s="379">
        <v>30</v>
      </c>
      <c r="AF266" s="356" t="s">
        <v>412</v>
      </c>
      <c r="AI266" s="64" t="str">
        <f t="shared" ref="AI266:AI283" si="75">+AJ266&amp;AK266</f>
        <v>Polyester44mm</v>
      </c>
      <c r="AJ266" t="s">
        <v>84</v>
      </c>
      <c r="AK266" s="19" t="s">
        <v>367</v>
      </c>
      <c r="AL266" s="316" t="s">
        <v>412</v>
      </c>
      <c r="AM266"/>
      <c r="AY266" s="64" t="str">
        <f t="shared" si="68"/>
        <v>7x7RVS (AISI316)30</v>
      </c>
      <c r="AZ266" t="str">
        <f>$AD$244</f>
        <v>7x7RVS (AISI316)</v>
      </c>
      <c r="BA266" s="379">
        <v>30</v>
      </c>
      <c r="BB266" s="356" t="s">
        <v>412</v>
      </c>
      <c r="BC266" s="19"/>
    </row>
    <row r="267" spans="29:55" x14ac:dyDescent="0.25">
      <c r="AC267" s="373" t="str">
        <f t="shared" si="73"/>
        <v>6x19 FERVS (AISI316)3</v>
      </c>
      <c r="AD267" s="374" t="str">
        <f>AD10&amp;AC6</f>
        <v>6x19 FERVS (AISI316)</v>
      </c>
      <c r="AE267" s="63">
        <v>3</v>
      </c>
      <c r="AF267" s="375">
        <v>4.34</v>
      </c>
      <c r="AI267" s="64" t="str">
        <f t="shared" si="75"/>
        <v>Polyester48mm</v>
      </c>
      <c r="AJ267" t="s">
        <v>84</v>
      </c>
      <c r="AK267" s="19" t="s">
        <v>368</v>
      </c>
      <c r="AL267" s="316" t="s">
        <v>412</v>
      </c>
      <c r="AM267"/>
      <c r="AY267" s="373" t="str">
        <f t="shared" si="68"/>
        <v>6x19 FERVS (AISI316)3</v>
      </c>
      <c r="AZ267" s="374" t="str">
        <f>AZ9&amp;AY6</f>
        <v>6x19 FERVS (AISI316)</v>
      </c>
      <c r="BA267" s="63">
        <v>3</v>
      </c>
      <c r="BB267" s="375">
        <v>4.34</v>
      </c>
      <c r="BC267" s="63"/>
    </row>
    <row r="268" spans="29:55" x14ac:dyDescent="0.25">
      <c r="AC268" s="64" t="str">
        <f t="shared" ref="AC268:AC284" si="76">AD268&amp;AE268</f>
        <v>6x19 FERVS (AISI316)4</v>
      </c>
      <c r="AD268" t="str">
        <f t="shared" ref="AD268:AD284" si="77">$AD$267</f>
        <v>6x19 FERVS (AISI316)</v>
      </c>
      <c r="AE268" s="19">
        <v>4</v>
      </c>
      <c r="AF268" s="356">
        <v>7.71</v>
      </c>
      <c r="AI268" s="64" t="str">
        <f t="shared" si="75"/>
        <v>Polyester50mm</v>
      </c>
      <c r="AJ268" t="s">
        <v>84</v>
      </c>
      <c r="AK268" s="19" t="s">
        <v>886</v>
      </c>
      <c r="AL268" s="316" t="s">
        <v>412</v>
      </c>
      <c r="AM268"/>
      <c r="AY268" s="64" t="str">
        <f t="shared" si="68"/>
        <v>6x19 FERVS (AISI316)4</v>
      </c>
      <c r="AZ268" t="str">
        <f t="shared" ref="AZ268:AZ284" si="78">$AD$267</f>
        <v>6x19 FERVS (AISI316)</v>
      </c>
      <c r="BA268" s="19">
        <v>4</v>
      </c>
      <c r="BB268" s="356">
        <v>7.71</v>
      </c>
      <c r="BC268" s="19"/>
    </row>
    <row r="269" spans="29:55" x14ac:dyDescent="0.25">
      <c r="AC269" s="64" t="str">
        <f t="shared" si="76"/>
        <v>6x19 FERVS (AISI316)5</v>
      </c>
      <c r="AD269" t="str">
        <f t="shared" si="77"/>
        <v>6x19 FERVS (AISI316)</v>
      </c>
      <c r="AE269" s="19">
        <v>5</v>
      </c>
      <c r="AF269" s="356">
        <v>12</v>
      </c>
      <c r="AI269" s="64" t="str">
        <f t="shared" si="75"/>
        <v>Polyester52mm</v>
      </c>
      <c r="AJ269" t="s">
        <v>84</v>
      </c>
      <c r="AK269" s="19" t="s">
        <v>369</v>
      </c>
      <c r="AL269" s="316" t="s">
        <v>412</v>
      </c>
      <c r="AM269"/>
      <c r="AY269" s="64" t="str">
        <f t="shared" si="68"/>
        <v>6x19 FERVS (AISI316)5</v>
      </c>
      <c r="AZ269" t="str">
        <f t="shared" si="78"/>
        <v>6x19 FERVS (AISI316)</v>
      </c>
      <c r="BA269" s="19">
        <v>5</v>
      </c>
      <c r="BB269" s="356">
        <v>12</v>
      </c>
      <c r="BC269" s="19"/>
    </row>
    <row r="270" spans="29:55" x14ac:dyDescent="0.25">
      <c r="AC270" s="64" t="str">
        <f t="shared" si="76"/>
        <v>6x19 FERVS (AISI316)6</v>
      </c>
      <c r="AD270" t="str">
        <f t="shared" si="77"/>
        <v>6x19 FERVS (AISI316)</v>
      </c>
      <c r="AE270" s="19">
        <v>6</v>
      </c>
      <c r="AF270" s="356">
        <v>17.399999999999999</v>
      </c>
      <c r="AI270" s="64" t="str">
        <f t="shared" si="75"/>
        <v>Polyester1/4"</v>
      </c>
      <c r="AJ270" t="s">
        <v>84</v>
      </c>
      <c r="AK270" s="309" t="s">
        <v>346</v>
      </c>
      <c r="AL270" s="316" t="s">
        <v>412</v>
      </c>
      <c r="AM270"/>
      <c r="AY270" s="64" t="str">
        <f t="shared" si="68"/>
        <v>6x19 FERVS (AISI316)6</v>
      </c>
      <c r="AZ270" t="str">
        <f t="shared" si="78"/>
        <v>6x19 FERVS (AISI316)</v>
      </c>
      <c r="BA270" s="19">
        <v>6</v>
      </c>
      <c r="BB270" s="356">
        <v>17.399999999999999</v>
      </c>
      <c r="BC270" s="19"/>
    </row>
    <row r="271" spans="29:55" x14ac:dyDescent="0.25">
      <c r="AC271" s="64" t="str">
        <f t="shared" si="76"/>
        <v>6x19 FERVS (AISI316)7</v>
      </c>
      <c r="AD271" t="str">
        <f t="shared" si="77"/>
        <v>6x19 FERVS (AISI316)</v>
      </c>
      <c r="AE271" s="19">
        <v>7</v>
      </c>
      <c r="AF271" s="356">
        <v>23.6</v>
      </c>
      <c r="AI271" s="64" t="str">
        <f t="shared" si="75"/>
        <v>Polyester5/16"</v>
      </c>
      <c r="AJ271" t="s">
        <v>84</v>
      </c>
      <c r="AK271" s="309" t="s">
        <v>347</v>
      </c>
      <c r="AL271" s="316" t="s">
        <v>412</v>
      </c>
      <c r="AM271"/>
      <c r="AY271" s="64" t="str">
        <f t="shared" si="68"/>
        <v>6x19 FERVS (AISI316)7</v>
      </c>
      <c r="AZ271" t="str">
        <f t="shared" si="78"/>
        <v>6x19 FERVS (AISI316)</v>
      </c>
      <c r="BA271" s="19">
        <v>7</v>
      </c>
      <c r="BB271" s="356">
        <v>23.6</v>
      </c>
      <c r="BC271" s="19"/>
    </row>
    <row r="272" spans="29:55" x14ac:dyDescent="0.25">
      <c r="AC272" s="64" t="str">
        <f t="shared" si="76"/>
        <v>6x19 FERVS (AISI316)8</v>
      </c>
      <c r="AD272" t="str">
        <f t="shared" si="77"/>
        <v>6x19 FERVS (AISI316)</v>
      </c>
      <c r="AE272" s="19">
        <v>8</v>
      </c>
      <c r="AF272" s="355">
        <v>30.8</v>
      </c>
      <c r="AI272" s="64" t="str">
        <f t="shared" si="75"/>
        <v>Polyester3/8"</v>
      </c>
      <c r="AJ272" t="s">
        <v>84</v>
      </c>
      <c r="AK272" s="310" t="s">
        <v>348</v>
      </c>
      <c r="AL272" s="316" t="s">
        <v>412</v>
      </c>
      <c r="AM272"/>
      <c r="AY272" s="64" t="str">
        <f t="shared" si="68"/>
        <v>6x19 FERVS (AISI316)8</v>
      </c>
      <c r="AZ272" t="str">
        <f t="shared" si="78"/>
        <v>6x19 FERVS (AISI316)</v>
      </c>
      <c r="BA272" s="19">
        <v>8</v>
      </c>
      <c r="BB272" s="355">
        <v>30.8</v>
      </c>
      <c r="BC272" s="19"/>
    </row>
    <row r="273" spans="29:55" x14ac:dyDescent="0.25">
      <c r="AC273" s="64" t="str">
        <f t="shared" si="76"/>
        <v>6x19 FERVS (AISI316)9</v>
      </c>
      <c r="AD273" t="str">
        <f t="shared" si="77"/>
        <v>6x19 FERVS (AISI316)</v>
      </c>
      <c r="AE273" s="19">
        <v>9</v>
      </c>
      <c r="AF273" s="356" t="s">
        <v>412</v>
      </c>
      <c r="AI273" s="64" t="str">
        <f t="shared" si="75"/>
        <v>Polyester7/16"</v>
      </c>
      <c r="AJ273" t="s">
        <v>84</v>
      </c>
      <c r="AK273" s="310" t="s">
        <v>349</v>
      </c>
      <c r="AL273" s="316" t="s">
        <v>412</v>
      </c>
      <c r="AM273"/>
      <c r="AY273" s="64" t="str">
        <f t="shared" si="68"/>
        <v>6x19 FERVS (AISI316)9</v>
      </c>
      <c r="AZ273" t="str">
        <f t="shared" si="78"/>
        <v>6x19 FERVS (AISI316)</v>
      </c>
      <c r="BA273" s="19">
        <v>9</v>
      </c>
      <c r="BB273" s="356" t="s">
        <v>412</v>
      </c>
      <c r="BC273" s="19"/>
    </row>
    <row r="274" spans="29:55" x14ac:dyDescent="0.25">
      <c r="AC274" s="64" t="str">
        <f t="shared" si="76"/>
        <v>6x19 FERVS (AISI316)10</v>
      </c>
      <c r="AD274" t="str">
        <f t="shared" si="77"/>
        <v>6x19 FERVS (AISI316)</v>
      </c>
      <c r="AE274" s="19">
        <v>10</v>
      </c>
      <c r="AF274" s="355">
        <v>48.2</v>
      </c>
      <c r="AI274" s="64" t="str">
        <f t="shared" si="75"/>
        <v>Polyester1/2"</v>
      </c>
      <c r="AJ274" t="s">
        <v>84</v>
      </c>
      <c r="AK274" s="310" t="s">
        <v>350</v>
      </c>
      <c r="AL274" s="316" t="s">
        <v>412</v>
      </c>
      <c r="AM274"/>
      <c r="AY274" s="64" t="str">
        <f t="shared" si="68"/>
        <v>6x19 FERVS (AISI316)10</v>
      </c>
      <c r="AZ274" t="str">
        <f t="shared" si="78"/>
        <v>6x19 FERVS (AISI316)</v>
      </c>
      <c r="BA274" s="19">
        <v>10</v>
      </c>
      <c r="BB274" s="355">
        <v>48.2</v>
      </c>
      <c r="BC274" s="19"/>
    </row>
    <row r="275" spans="29:55" x14ac:dyDescent="0.25">
      <c r="AC275" s="64" t="str">
        <f t="shared" si="76"/>
        <v>6x19 FERVS (AISI316)11</v>
      </c>
      <c r="AD275" t="str">
        <f t="shared" si="77"/>
        <v>6x19 FERVS (AISI316)</v>
      </c>
      <c r="AE275" s="19">
        <v>11</v>
      </c>
      <c r="AF275" s="356" t="s">
        <v>412</v>
      </c>
      <c r="AI275" s="64" t="str">
        <f t="shared" si="75"/>
        <v>Polyester5/8"</v>
      </c>
      <c r="AJ275" t="s">
        <v>84</v>
      </c>
      <c r="AK275" s="310" t="s">
        <v>351</v>
      </c>
      <c r="AL275" s="316" t="s">
        <v>412</v>
      </c>
      <c r="AM275"/>
      <c r="AY275" s="64" t="str">
        <f t="shared" si="68"/>
        <v>6x19 FERVS (AISI316)11</v>
      </c>
      <c r="AZ275" t="str">
        <f t="shared" si="78"/>
        <v>6x19 FERVS (AISI316)</v>
      </c>
      <c r="BA275" s="19">
        <v>11</v>
      </c>
      <c r="BB275" s="356" t="s">
        <v>412</v>
      </c>
      <c r="BC275" s="19"/>
    </row>
    <row r="276" spans="29:55" x14ac:dyDescent="0.25">
      <c r="AC276" s="64" t="str">
        <f t="shared" si="76"/>
        <v>6x19 FERVS (AISI316)12</v>
      </c>
      <c r="AD276" t="str">
        <f t="shared" si="77"/>
        <v>6x19 FERVS (AISI316)</v>
      </c>
      <c r="AE276" s="19">
        <v>12</v>
      </c>
      <c r="AF276" s="355" t="s">
        <v>412</v>
      </c>
      <c r="AI276" s="64" t="str">
        <f t="shared" si="75"/>
        <v>Polyester3/4"</v>
      </c>
      <c r="AJ276" t="s">
        <v>84</v>
      </c>
      <c r="AK276" s="310" t="s">
        <v>352</v>
      </c>
      <c r="AL276" s="316" t="s">
        <v>412</v>
      </c>
      <c r="AM276"/>
      <c r="AY276" s="64" t="str">
        <f t="shared" si="68"/>
        <v>6x19 FERVS (AISI316)12</v>
      </c>
      <c r="AZ276" t="str">
        <f t="shared" si="78"/>
        <v>6x19 FERVS (AISI316)</v>
      </c>
      <c r="BA276" s="19">
        <v>12</v>
      </c>
      <c r="BB276" s="355" t="s">
        <v>412</v>
      </c>
      <c r="BC276" s="19"/>
    </row>
    <row r="277" spans="29:55" x14ac:dyDescent="0.25">
      <c r="AC277" s="64" t="str">
        <f t="shared" si="76"/>
        <v>6x19 FERVS (AISI316)13</v>
      </c>
      <c r="AD277" t="str">
        <f t="shared" si="77"/>
        <v>6x19 FERVS (AISI316)</v>
      </c>
      <c r="AE277" s="19">
        <v>13</v>
      </c>
      <c r="AF277" s="356" t="s">
        <v>412</v>
      </c>
      <c r="AI277" s="64" t="str">
        <f t="shared" si="75"/>
        <v>Polyester7/8"</v>
      </c>
      <c r="AJ277" t="s">
        <v>84</v>
      </c>
      <c r="AK277" s="310" t="s">
        <v>353</v>
      </c>
      <c r="AL277" s="316" t="s">
        <v>412</v>
      </c>
      <c r="AM277"/>
      <c r="AY277" s="64" t="str">
        <f t="shared" si="68"/>
        <v>6x19 FERVS (AISI316)13</v>
      </c>
      <c r="AZ277" t="str">
        <f t="shared" si="78"/>
        <v>6x19 FERVS (AISI316)</v>
      </c>
      <c r="BA277" s="19">
        <v>13</v>
      </c>
      <c r="BB277" s="356" t="s">
        <v>412</v>
      </c>
      <c r="BC277" s="19"/>
    </row>
    <row r="278" spans="29:55" x14ac:dyDescent="0.25">
      <c r="AC278" s="64" t="str">
        <f t="shared" si="76"/>
        <v>6x19 FERVS (AISI316)14</v>
      </c>
      <c r="AD278" t="str">
        <f t="shared" si="77"/>
        <v>6x19 FERVS (AISI316)</v>
      </c>
      <c r="AE278" s="19">
        <v>14</v>
      </c>
      <c r="AF278" s="355" t="s">
        <v>412</v>
      </c>
      <c r="AI278" s="64" t="str">
        <f t="shared" si="75"/>
        <v>Polyester1"</v>
      </c>
      <c r="AJ278" t="s">
        <v>84</v>
      </c>
      <c r="AK278" s="310" t="s">
        <v>354</v>
      </c>
      <c r="AL278" s="316" t="s">
        <v>412</v>
      </c>
      <c r="AM278"/>
      <c r="AY278" s="64" t="str">
        <f t="shared" si="68"/>
        <v>6x19 FERVS (AISI316)14</v>
      </c>
      <c r="AZ278" t="str">
        <f t="shared" si="78"/>
        <v>6x19 FERVS (AISI316)</v>
      </c>
      <c r="BA278" s="19">
        <v>14</v>
      </c>
      <c r="BB278" s="355" t="s">
        <v>412</v>
      </c>
      <c r="BC278" s="19"/>
    </row>
    <row r="279" spans="29:55" x14ac:dyDescent="0.25">
      <c r="AC279" s="64" t="str">
        <f t="shared" si="76"/>
        <v>6x19 FERVS (AISI316)15</v>
      </c>
      <c r="AD279" t="str">
        <f t="shared" si="77"/>
        <v>6x19 FERVS (AISI316)</v>
      </c>
      <c r="AE279" s="19">
        <v>15</v>
      </c>
      <c r="AF279" s="356" t="s">
        <v>412</v>
      </c>
      <c r="AI279" s="64" t="str">
        <f t="shared" si="75"/>
        <v>Polyester1 1/8"</v>
      </c>
      <c r="AJ279" t="s">
        <v>84</v>
      </c>
      <c r="AK279" s="310" t="s">
        <v>355</v>
      </c>
      <c r="AL279" s="316" t="s">
        <v>412</v>
      </c>
      <c r="AM279"/>
      <c r="AY279" s="64" t="str">
        <f t="shared" si="68"/>
        <v>6x19 FERVS (AISI316)15</v>
      </c>
      <c r="AZ279" t="str">
        <f t="shared" si="78"/>
        <v>6x19 FERVS (AISI316)</v>
      </c>
      <c r="BA279" s="19">
        <v>15</v>
      </c>
      <c r="BB279" s="356" t="s">
        <v>412</v>
      </c>
      <c r="BC279" s="19"/>
    </row>
    <row r="280" spans="29:55" x14ac:dyDescent="0.25">
      <c r="AC280" s="64" t="str">
        <f t="shared" si="76"/>
        <v>6x19 FERVS (AISI316)16</v>
      </c>
      <c r="AD280" t="str">
        <f t="shared" si="77"/>
        <v>6x19 FERVS (AISI316)</v>
      </c>
      <c r="AE280" s="19">
        <v>16</v>
      </c>
      <c r="AF280" s="355" t="s">
        <v>412</v>
      </c>
      <c r="AI280" s="64" t="str">
        <f t="shared" si="75"/>
        <v>Polyester1 1/4"</v>
      </c>
      <c r="AJ280" t="s">
        <v>84</v>
      </c>
      <c r="AK280" s="310" t="s">
        <v>356</v>
      </c>
      <c r="AL280" s="316" t="s">
        <v>412</v>
      </c>
      <c r="AM280"/>
      <c r="AY280" s="64" t="str">
        <f t="shared" si="68"/>
        <v>6x19 FERVS (AISI316)16</v>
      </c>
      <c r="AZ280" t="str">
        <f t="shared" si="78"/>
        <v>6x19 FERVS (AISI316)</v>
      </c>
      <c r="BA280" s="19">
        <v>16</v>
      </c>
      <c r="BB280" s="355" t="s">
        <v>412</v>
      </c>
      <c r="BC280" s="19"/>
    </row>
    <row r="281" spans="29:55" x14ac:dyDescent="0.25">
      <c r="AC281" s="64" t="str">
        <f t="shared" si="76"/>
        <v>6x19 FERVS (AISI316)17</v>
      </c>
      <c r="AD281" t="str">
        <f t="shared" si="77"/>
        <v>6x19 FERVS (AISI316)</v>
      </c>
      <c r="AE281" s="19">
        <v>17</v>
      </c>
      <c r="AF281" s="356" t="s">
        <v>412</v>
      </c>
      <c r="AI281" s="64" t="str">
        <f t="shared" si="75"/>
        <v>Polyester1 1/2"</v>
      </c>
      <c r="AJ281" t="s">
        <v>84</v>
      </c>
      <c r="AK281" s="310" t="s">
        <v>357</v>
      </c>
      <c r="AL281" s="316" t="s">
        <v>412</v>
      </c>
      <c r="AM281"/>
      <c r="AY281" s="64" t="str">
        <f t="shared" si="68"/>
        <v>6x19 FERVS (AISI316)17</v>
      </c>
      <c r="AZ281" t="str">
        <f t="shared" si="78"/>
        <v>6x19 FERVS (AISI316)</v>
      </c>
      <c r="BA281" s="19">
        <v>17</v>
      </c>
      <c r="BB281" s="356" t="s">
        <v>412</v>
      </c>
      <c r="BC281" s="19"/>
    </row>
    <row r="282" spans="29:55" x14ac:dyDescent="0.25">
      <c r="AC282" s="64" t="str">
        <f t="shared" si="76"/>
        <v>6x19 FERVS (AISI316)18</v>
      </c>
      <c r="AD282" t="str">
        <f t="shared" si="77"/>
        <v>6x19 FERVS (AISI316)</v>
      </c>
      <c r="AE282" s="19">
        <v>18</v>
      </c>
      <c r="AF282" s="355" t="s">
        <v>412</v>
      </c>
      <c r="AI282" s="64" t="str">
        <f t="shared" si="75"/>
        <v>Polyester1 3/4"</v>
      </c>
      <c r="AJ282" t="s">
        <v>84</v>
      </c>
      <c r="AK282" s="310" t="s">
        <v>358</v>
      </c>
      <c r="AL282" s="316" t="s">
        <v>412</v>
      </c>
      <c r="AM282"/>
      <c r="AY282" s="64" t="str">
        <f t="shared" si="68"/>
        <v>6x19 FERVS (AISI316)18</v>
      </c>
      <c r="AZ282" t="str">
        <f t="shared" si="78"/>
        <v>6x19 FERVS (AISI316)</v>
      </c>
      <c r="BA282" s="19">
        <v>18</v>
      </c>
      <c r="BB282" s="355" t="s">
        <v>412</v>
      </c>
      <c r="BC282" s="19"/>
    </row>
    <row r="283" spans="29:55" x14ac:dyDescent="0.25">
      <c r="AC283" s="64" t="str">
        <f t="shared" si="76"/>
        <v>6x19 FERVS (AISI316)19</v>
      </c>
      <c r="AD283" t="str">
        <f t="shared" si="77"/>
        <v>6x19 FERVS (AISI316)</v>
      </c>
      <c r="AE283" s="19">
        <v>19</v>
      </c>
      <c r="AF283" s="356" t="s">
        <v>412</v>
      </c>
      <c r="AI283" s="64" t="str">
        <f t="shared" si="75"/>
        <v>Polyester2"</v>
      </c>
      <c r="AJ283" t="s">
        <v>84</v>
      </c>
      <c r="AK283" s="310" t="s">
        <v>359</v>
      </c>
      <c r="AL283" s="316" t="s">
        <v>412</v>
      </c>
      <c r="AM283"/>
      <c r="AY283" s="64" t="str">
        <f t="shared" si="68"/>
        <v>6x19 FERVS (AISI316)19</v>
      </c>
      <c r="AZ283" t="str">
        <f t="shared" si="78"/>
        <v>6x19 FERVS (AISI316)</v>
      </c>
      <c r="BA283" s="19">
        <v>19</v>
      </c>
      <c r="BB283" s="356" t="s">
        <v>412</v>
      </c>
      <c r="BC283" s="19"/>
    </row>
    <row r="284" spans="29:55" x14ac:dyDescent="0.25">
      <c r="AC284" s="64" t="str">
        <f t="shared" si="76"/>
        <v>6x19 FERVS (AISI316)20</v>
      </c>
      <c r="AD284" t="str">
        <f t="shared" si="77"/>
        <v>6x19 FERVS (AISI316)</v>
      </c>
      <c r="AE284" s="19">
        <v>20</v>
      </c>
      <c r="AF284" s="355" t="s">
        <v>412</v>
      </c>
      <c r="AI284" s="64" t="str">
        <f t="shared" ref="AI284:AI291" si="79">+AJ284&amp;AK284</f>
        <v>Polyester3mm</v>
      </c>
      <c r="AJ284" t="s">
        <v>84</v>
      </c>
      <c r="AK284" s="19" t="s">
        <v>630</v>
      </c>
      <c r="AL284" s="316" t="s">
        <v>412</v>
      </c>
      <c r="AM284"/>
      <c r="AY284" s="64" t="str">
        <f t="shared" si="68"/>
        <v>6x19 FERVS (AISI316)20</v>
      </c>
      <c r="AZ284" t="str">
        <f t="shared" si="78"/>
        <v>6x19 FERVS (AISI316)</v>
      </c>
      <c r="BA284" s="19">
        <v>20</v>
      </c>
      <c r="BB284" s="355" t="s">
        <v>412</v>
      </c>
      <c r="BC284" s="19"/>
    </row>
    <row r="285" spans="29:55" x14ac:dyDescent="0.25">
      <c r="AC285" s="64" t="str">
        <f t="shared" ref="AC285:AC290" si="80">AD285&amp;AE285</f>
        <v>6x19 FERVS (AISI316)22</v>
      </c>
      <c r="AD285" t="str">
        <f>$AD$267</f>
        <v>6x19 FERVS (AISI316)</v>
      </c>
      <c r="AE285" s="19">
        <v>22</v>
      </c>
      <c r="AF285" s="356" t="s">
        <v>412</v>
      </c>
      <c r="AI285" s="64" t="str">
        <f t="shared" si="79"/>
        <v>Polyester4mm</v>
      </c>
      <c r="AJ285" t="s">
        <v>84</v>
      </c>
      <c r="AK285" s="19" t="s">
        <v>609</v>
      </c>
      <c r="AL285" s="316" t="s">
        <v>412</v>
      </c>
      <c r="AM285"/>
      <c r="AY285" s="64" t="str">
        <f t="shared" si="68"/>
        <v>6x19 FERVS (AISI316)22</v>
      </c>
      <c r="AZ285" t="str">
        <f>$AD$267</f>
        <v>6x19 FERVS (AISI316)</v>
      </c>
      <c r="BA285" s="19">
        <v>22</v>
      </c>
      <c r="BB285" s="356" t="s">
        <v>412</v>
      </c>
      <c r="BC285" s="19"/>
    </row>
    <row r="286" spans="29:55" x14ac:dyDescent="0.25">
      <c r="AC286" s="64" t="str">
        <f t="shared" si="80"/>
        <v>6x19 FERVS (AISI316)24</v>
      </c>
      <c r="AD286" t="str">
        <f>$AD$267</f>
        <v>6x19 FERVS (AISI316)</v>
      </c>
      <c r="AE286" s="19">
        <v>24</v>
      </c>
      <c r="AF286" s="356" t="s">
        <v>412</v>
      </c>
      <c r="AI286" s="64" t="str">
        <f t="shared" si="79"/>
        <v>Polyester5mm</v>
      </c>
      <c r="AJ286" t="s">
        <v>84</v>
      </c>
      <c r="AK286" s="19" t="s">
        <v>631</v>
      </c>
      <c r="AL286" s="316" t="s">
        <v>412</v>
      </c>
      <c r="AM286"/>
      <c r="AY286" s="64" t="str">
        <f t="shared" si="68"/>
        <v>6x19 FERVS (AISI316)24</v>
      </c>
      <c r="AZ286" t="str">
        <f>$AD$267</f>
        <v>6x19 FERVS (AISI316)</v>
      </c>
      <c r="BA286" s="19">
        <v>24</v>
      </c>
      <c r="BB286" s="356" t="s">
        <v>412</v>
      </c>
      <c r="BC286" s="19"/>
    </row>
    <row r="287" spans="29:55" x14ac:dyDescent="0.25">
      <c r="AC287" s="64" t="str">
        <f t="shared" si="80"/>
        <v>6x19 FERVS (AISI316)26</v>
      </c>
      <c r="AD287" t="str">
        <f>$AD$267</f>
        <v>6x19 FERVS (AISI316)</v>
      </c>
      <c r="AE287" s="19">
        <v>26</v>
      </c>
      <c r="AF287" s="356" t="s">
        <v>412</v>
      </c>
      <c r="AI287" s="64" t="str">
        <f t="shared" si="79"/>
        <v>Polyester6mm</v>
      </c>
      <c r="AJ287" t="s">
        <v>84</v>
      </c>
      <c r="AK287" s="19" t="s">
        <v>608</v>
      </c>
      <c r="AL287" s="316" t="s">
        <v>412</v>
      </c>
      <c r="AM287"/>
      <c r="AY287" s="64" t="str">
        <f t="shared" si="68"/>
        <v>6x19 FERVS (AISI316)26</v>
      </c>
      <c r="AZ287" t="str">
        <f>$AD$267</f>
        <v>6x19 FERVS (AISI316)</v>
      </c>
      <c r="BA287" s="19">
        <v>26</v>
      </c>
      <c r="BB287" s="356" t="s">
        <v>412</v>
      </c>
      <c r="BC287" s="19"/>
    </row>
    <row r="288" spans="29:55" x14ac:dyDescent="0.25">
      <c r="AC288" s="64" t="str">
        <f t="shared" si="80"/>
        <v>6x19 FERVS (AISI316)28</v>
      </c>
      <c r="AD288" t="str">
        <f>$AD$267</f>
        <v>6x19 FERVS (AISI316)</v>
      </c>
      <c r="AE288" s="19">
        <v>28</v>
      </c>
      <c r="AF288" s="356" t="s">
        <v>412</v>
      </c>
      <c r="AI288" s="62" t="str">
        <f t="shared" si="79"/>
        <v>Polypropyleen3mm</v>
      </c>
      <c r="AJ288" s="66" t="s">
        <v>127</v>
      </c>
      <c r="AK288" s="63" t="s">
        <v>630</v>
      </c>
      <c r="AL288" s="315" t="s">
        <v>412</v>
      </c>
      <c r="AM288"/>
      <c r="AY288" s="64" t="str">
        <f t="shared" si="68"/>
        <v>6x19 FERVS (AISI316)28</v>
      </c>
      <c r="AZ288" t="str">
        <f>$AD$267</f>
        <v>6x19 FERVS (AISI316)</v>
      </c>
      <c r="BA288" s="19">
        <v>28</v>
      </c>
      <c r="BB288" s="356" t="s">
        <v>412</v>
      </c>
      <c r="BC288" s="19"/>
    </row>
    <row r="289" spans="29:55" x14ac:dyDescent="0.25">
      <c r="AC289" s="64" t="str">
        <f t="shared" si="80"/>
        <v>6x19 FERVS (AISI316)30</v>
      </c>
      <c r="AD289" t="str">
        <f>$AD$267</f>
        <v>6x19 FERVS (AISI316)</v>
      </c>
      <c r="AE289" s="379">
        <v>30</v>
      </c>
      <c r="AF289" s="356" t="s">
        <v>412</v>
      </c>
      <c r="AI289" s="64" t="str">
        <f t="shared" si="79"/>
        <v>Polypropyleen4mm</v>
      </c>
      <c r="AJ289" t="s">
        <v>127</v>
      </c>
      <c r="AK289" s="19" t="s">
        <v>609</v>
      </c>
      <c r="AL289" s="328">
        <f>9.81*233/1000</f>
        <v>2.28573</v>
      </c>
      <c r="AM289"/>
      <c r="AY289" s="64" t="str">
        <f t="shared" si="68"/>
        <v>6x19 FERVS (AISI316)30</v>
      </c>
      <c r="AZ289" t="str">
        <f>$AD$267</f>
        <v>6x19 FERVS (AISI316)</v>
      </c>
      <c r="BA289" s="379">
        <v>30</v>
      </c>
      <c r="BB289" s="356" t="s">
        <v>412</v>
      </c>
      <c r="BC289" s="19"/>
    </row>
    <row r="290" spans="29:55" x14ac:dyDescent="0.25">
      <c r="AC290" s="373" t="str">
        <f t="shared" si="80"/>
        <v>6x36 FERVS (AISI316)3</v>
      </c>
      <c r="AD290" s="374" t="str">
        <f>AD7&amp;AC6</f>
        <v>6x36 FERVS (AISI316)</v>
      </c>
      <c r="AE290" s="63">
        <v>3</v>
      </c>
      <c r="AF290" s="375" t="s">
        <v>412</v>
      </c>
      <c r="AI290" s="64" t="str">
        <f t="shared" si="79"/>
        <v>Polypropyleen5mm</v>
      </c>
      <c r="AJ290" t="s">
        <v>127</v>
      </c>
      <c r="AK290" s="19" t="s">
        <v>631</v>
      </c>
      <c r="AL290" s="316" t="s">
        <v>412</v>
      </c>
      <c r="AM290"/>
      <c r="AY290" s="373" t="str">
        <f t="shared" si="68"/>
        <v>6x36 FERVS (AISI316)3</v>
      </c>
      <c r="AZ290" s="374" t="str">
        <f>AZ6&amp;AY6</f>
        <v>6x36 FERVS (AISI316)</v>
      </c>
      <c r="BA290" s="63">
        <v>3</v>
      </c>
      <c r="BB290" s="375" t="s">
        <v>412</v>
      </c>
      <c r="BC290" s="63"/>
    </row>
    <row r="291" spans="29:55" x14ac:dyDescent="0.25">
      <c r="AC291" s="64" t="str">
        <f t="shared" ref="AC291:AC307" si="81">AD291&amp;AE291</f>
        <v>6x36 FERVS (AISI316)4</v>
      </c>
      <c r="AD291" t="str">
        <f t="shared" ref="AD291:AD307" si="82">$AD$290</f>
        <v>6x36 FERVS (AISI316)</v>
      </c>
      <c r="AE291" s="19">
        <v>4</v>
      </c>
      <c r="AF291" s="356" t="s">
        <v>412</v>
      </c>
      <c r="AI291" s="64" t="str">
        <f t="shared" si="79"/>
        <v>Polypropyleen6mm</v>
      </c>
      <c r="AJ291" t="s">
        <v>127</v>
      </c>
      <c r="AK291" s="19" t="s">
        <v>608</v>
      </c>
      <c r="AL291" s="328">
        <f>9.81*519/1000</f>
        <v>5.0913900000000005</v>
      </c>
      <c r="AM291"/>
      <c r="AY291" s="64" t="str">
        <f t="shared" si="68"/>
        <v>6x36 FERVS (AISI316)4</v>
      </c>
      <c r="AZ291" t="str">
        <f t="shared" ref="AZ291:AZ307" si="83">$AD$290</f>
        <v>6x36 FERVS (AISI316)</v>
      </c>
      <c r="BA291" s="19">
        <v>4</v>
      </c>
      <c r="BB291" s="356" t="s">
        <v>412</v>
      </c>
      <c r="BC291" s="19"/>
    </row>
    <row r="292" spans="29:55" x14ac:dyDescent="0.25">
      <c r="AC292" s="64" t="str">
        <f t="shared" si="81"/>
        <v>6x36 FERVS (AISI316)5</v>
      </c>
      <c r="AD292" t="str">
        <f t="shared" si="82"/>
        <v>6x36 FERVS (AISI316)</v>
      </c>
      <c r="AE292" s="19">
        <v>5</v>
      </c>
      <c r="AF292" s="356" t="s">
        <v>412</v>
      </c>
      <c r="AI292" s="64" t="str">
        <f>+AJ292&amp;AK292</f>
        <v>Polypropyleen8mm</v>
      </c>
      <c r="AJ292" t="s">
        <v>127</v>
      </c>
      <c r="AK292" s="19" t="s">
        <v>607</v>
      </c>
      <c r="AL292" s="327">
        <f>0.965*9.81</f>
        <v>9.4666499999999996</v>
      </c>
      <c r="AM292"/>
      <c r="AY292" s="64" t="str">
        <f t="shared" si="68"/>
        <v>6x36 FERVS (AISI316)5</v>
      </c>
      <c r="AZ292" t="str">
        <f t="shared" si="83"/>
        <v>6x36 FERVS (AISI316)</v>
      </c>
      <c r="BA292" s="19">
        <v>5</v>
      </c>
      <c r="BB292" s="356" t="s">
        <v>412</v>
      </c>
      <c r="BC292" s="19"/>
    </row>
    <row r="293" spans="29:55" x14ac:dyDescent="0.25">
      <c r="AC293" s="64" t="str">
        <f t="shared" si="81"/>
        <v>6x36 FERVS (AISI316)6</v>
      </c>
      <c r="AD293" t="str">
        <f t="shared" si="82"/>
        <v>6x36 FERVS (AISI316)</v>
      </c>
      <c r="AE293" s="19">
        <v>6</v>
      </c>
      <c r="AF293" s="356" t="s">
        <v>412</v>
      </c>
      <c r="AI293" s="64" t="str">
        <f t="shared" ref="AI293:AI302" si="84">+AJ293&amp;AK293</f>
        <v>Polypropyleen10mm</v>
      </c>
      <c r="AJ293" t="s">
        <v>127</v>
      </c>
      <c r="AK293" s="19" t="s">
        <v>606</v>
      </c>
      <c r="AL293" s="327">
        <f>1.418*9.81</f>
        <v>13.91058</v>
      </c>
      <c r="AM293"/>
      <c r="AY293" s="64" t="str">
        <f t="shared" si="68"/>
        <v>6x36 FERVS (AISI316)6</v>
      </c>
      <c r="AZ293" t="str">
        <f t="shared" si="83"/>
        <v>6x36 FERVS (AISI316)</v>
      </c>
      <c r="BA293" s="19">
        <v>6</v>
      </c>
      <c r="BB293" s="356" t="s">
        <v>412</v>
      </c>
      <c r="BC293" s="19"/>
    </row>
    <row r="294" spans="29:55" x14ac:dyDescent="0.25">
      <c r="AC294" s="64" t="str">
        <f t="shared" si="81"/>
        <v>6x36 FERVS (AISI316)7</v>
      </c>
      <c r="AD294" t="str">
        <f t="shared" si="82"/>
        <v>6x36 FERVS (AISI316)</v>
      </c>
      <c r="AE294" s="19">
        <v>7</v>
      </c>
      <c r="AF294" s="356" t="s">
        <v>412</v>
      </c>
      <c r="AI294" s="64" t="str">
        <f t="shared" si="84"/>
        <v>Polypropyleen12mm</v>
      </c>
      <c r="AJ294" t="s">
        <v>127</v>
      </c>
      <c r="AK294" s="19" t="s">
        <v>605</v>
      </c>
      <c r="AL294" s="327">
        <f>1.925*9.81</f>
        <v>18.884250000000002</v>
      </c>
      <c r="AM294"/>
      <c r="AY294" s="64" t="str">
        <f t="shared" si="68"/>
        <v>6x36 FERVS (AISI316)7</v>
      </c>
      <c r="AZ294" t="str">
        <f t="shared" si="83"/>
        <v>6x36 FERVS (AISI316)</v>
      </c>
      <c r="BA294" s="19">
        <v>7</v>
      </c>
      <c r="BB294" s="356" t="s">
        <v>412</v>
      </c>
      <c r="BC294" s="19"/>
    </row>
    <row r="295" spans="29:55" x14ac:dyDescent="0.25">
      <c r="AC295" s="64" t="str">
        <f t="shared" si="81"/>
        <v>6x36 FERVS (AISI316)8</v>
      </c>
      <c r="AD295" t="str">
        <f t="shared" si="82"/>
        <v>6x36 FERVS (AISI316)</v>
      </c>
      <c r="AE295" s="19">
        <v>8</v>
      </c>
      <c r="AF295" s="355" t="s">
        <v>412</v>
      </c>
      <c r="AI295" s="64" t="str">
        <f t="shared" si="84"/>
        <v>Polypropyleen14mm</v>
      </c>
      <c r="AJ295" t="s">
        <v>127</v>
      </c>
      <c r="AK295" s="19" t="s">
        <v>604</v>
      </c>
      <c r="AL295" s="327">
        <f>2.315*9.81</f>
        <v>22.710150000000002</v>
      </c>
      <c r="AM295"/>
      <c r="AY295" s="64" t="str">
        <f t="shared" si="68"/>
        <v>6x36 FERVS (AISI316)8</v>
      </c>
      <c r="AZ295" t="str">
        <f t="shared" si="83"/>
        <v>6x36 FERVS (AISI316)</v>
      </c>
      <c r="BA295" s="19">
        <v>8</v>
      </c>
      <c r="BB295" s="355" t="s">
        <v>412</v>
      </c>
      <c r="BC295" s="19"/>
    </row>
    <row r="296" spans="29:55" x14ac:dyDescent="0.25">
      <c r="AC296" s="64" t="str">
        <f t="shared" si="81"/>
        <v>6x36 FERVS (AISI316)9</v>
      </c>
      <c r="AD296" t="str">
        <f t="shared" si="82"/>
        <v>6x36 FERVS (AISI316)</v>
      </c>
      <c r="AE296" s="19">
        <v>9</v>
      </c>
      <c r="AF296" s="356" t="s">
        <v>412</v>
      </c>
      <c r="AI296" s="64" t="str">
        <f t="shared" si="84"/>
        <v>Polypropyleen16mm</v>
      </c>
      <c r="AJ296" t="s">
        <v>127</v>
      </c>
      <c r="AK296" s="19" t="s">
        <v>603</v>
      </c>
      <c r="AL296" s="327">
        <f>2.692*9.81</f>
        <v>26.408520000000003</v>
      </c>
      <c r="AM296"/>
      <c r="AY296" s="64" t="str">
        <f t="shared" si="68"/>
        <v>6x36 FERVS (AISI316)9</v>
      </c>
      <c r="AZ296" t="str">
        <f t="shared" si="83"/>
        <v>6x36 FERVS (AISI316)</v>
      </c>
      <c r="BA296" s="19">
        <v>9</v>
      </c>
      <c r="BB296" s="356" t="s">
        <v>412</v>
      </c>
      <c r="BC296" s="19"/>
    </row>
    <row r="297" spans="29:55" x14ac:dyDescent="0.25">
      <c r="AC297" s="64" t="str">
        <f t="shared" si="81"/>
        <v>6x36 FERVS (AISI316)10</v>
      </c>
      <c r="AD297" t="str">
        <f t="shared" si="82"/>
        <v>6x36 FERVS (AISI316)</v>
      </c>
      <c r="AE297" s="19">
        <v>10</v>
      </c>
      <c r="AF297" s="355">
        <v>51.8</v>
      </c>
      <c r="AI297" s="64" t="str">
        <f t="shared" si="84"/>
        <v>Polypropyleen18mm</v>
      </c>
      <c r="AJ297" t="s">
        <v>127</v>
      </c>
      <c r="AK297" s="19" t="s">
        <v>360</v>
      </c>
      <c r="AL297" s="327">
        <f>3.538*9.81</f>
        <v>34.70778</v>
      </c>
      <c r="AM297"/>
      <c r="AY297" s="64" t="str">
        <f t="shared" si="68"/>
        <v>6x36 FERVS (AISI316)10</v>
      </c>
      <c r="AZ297" t="str">
        <f t="shared" si="83"/>
        <v>6x36 FERVS (AISI316)</v>
      </c>
      <c r="BA297" s="19">
        <v>10</v>
      </c>
      <c r="BB297" s="355">
        <v>51.8</v>
      </c>
      <c r="BC297" s="19"/>
    </row>
    <row r="298" spans="29:55" x14ac:dyDescent="0.25">
      <c r="AC298" s="64" t="str">
        <f t="shared" si="81"/>
        <v>6x36 FERVS (AISI316)11</v>
      </c>
      <c r="AD298" t="str">
        <f t="shared" si="82"/>
        <v>6x36 FERVS (AISI316)</v>
      </c>
      <c r="AE298" s="19">
        <v>11</v>
      </c>
      <c r="AF298" s="356" t="s">
        <v>412</v>
      </c>
      <c r="AI298" s="64" t="str">
        <f t="shared" si="84"/>
        <v>Polypropyleen19mm</v>
      </c>
      <c r="AJ298" t="s">
        <v>127</v>
      </c>
      <c r="AK298" s="19" t="s">
        <v>624</v>
      </c>
      <c r="AL298" s="328" t="s">
        <v>412</v>
      </c>
      <c r="AM298"/>
      <c r="AY298" s="64" t="str">
        <f t="shared" si="68"/>
        <v>6x36 FERVS (AISI316)11</v>
      </c>
      <c r="AZ298" t="str">
        <f t="shared" si="83"/>
        <v>6x36 FERVS (AISI316)</v>
      </c>
      <c r="BA298" s="19">
        <v>11</v>
      </c>
      <c r="BB298" s="356" t="s">
        <v>412</v>
      </c>
      <c r="BC298" s="19"/>
    </row>
    <row r="299" spans="29:55" x14ac:dyDescent="0.25">
      <c r="AC299" s="64" t="str">
        <f t="shared" si="81"/>
        <v>6x36 FERVS (AISI316)12</v>
      </c>
      <c r="AD299" t="str">
        <f t="shared" si="82"/>
        <v>6x36 FERVS (AISI316)</v>
      </c>
      <c r="AE299" s="19">
        <v>12</v>
      </c>
      <c r="AF299" s="355">
        <v>74.599999999999994</v>
      </c>
      <c r="AI299" s="64" t="str">
        <f t="shared" si="84"/>
        <v>Polypropyleen20mm</v>
      </c>
      <c r="AJ299" t="s">
        <v>127</v>
      </c>
      <c r="AK299" s="19" t="s">
        <v>623</v>
      </c>
      <c r="AL299" s="328">
        <f>4.037*9.81</f>
        <v>39.602969999999999</v>
      </c>
      <c r="AM299"/>
      <c r="AY299" s="64" t="str">
        <f t="shared" si="68"/>
        <v>6x36 FERVS (AISI316)12</v>
      </c>
      <c r="AZ299" t="str">
        <f t="shared" si="83"/>
        <v>6x36 FERVS (AISI316)</v>
      </c>
      <c r="BA299" s="19">
        <v>12</v>
      </c>
      <c r="BB299" s="355">
        <v>74.599999999999994</v>
      </c>
      <c r="BC299" s="19"/>
    </row>
    <row r="300" spans="29:55" x14ac:dyDescent="0.25">
      <c r="AC300" s="64" t="str">
        <f t="shared" si="81"/>
        <v>6x36 FERVS (AISI316)13</v>
      </c>
      <c r="AD300" t="str">
        <f t="shared" si="82"/>
        <v>6x36 FERVS (AISI316)</v>
      </c>
      <c r="AE300" s="19">
        <v>13</v>
      </c>
      <c r="AF300" s="356" t="s">
        <v>412</v>
      </c>
      <c r="AI300" s="64" t="str">
        <f t="shared" si="84"/>
        <v>Polypropyleen22mm</v>
      </c>
      <c r="AJ300" t="s">
        <v>127</v>
      </c>
      <c r="AK300" s="19" t="s">
        <v>361</v>
      </c>
      <c r="AL300" s="328">
        <f>4.5*9.81</f>
        <v>44.145000000000003</v>
      </c>
      <c r="AM300"/>
      <c r="AY300" s="64" t="str">
        <f t="shared" si="68"/>
        <v>6x36 FERVS (AISI316)13</v>
      </c>
      <c r="AZ300" t="str">
        <f t="shared" si="83"/>
        <v>6x36 FERVS (AISI316)</v>
      </c>
      <c r="BA300" s="19">
        <v>13</v>
      </c>
      <c r="BB300" s="356" t="s">
        <v>412</v>
      </c>
      <c r="BC300" s="19"/>
    </row>
    <row r="301" spans="29:55" x14ac:dyDescent="0.25">
      <c r="AC301" s="64" t="str">
        <f t="shared" si="81"/>
        <v>6x36 FERVS (AISI316)14</v>
      </c>
      <c r="AD301" t="str">
        <f t="shared" si="82"/>
        <v>6x36 FERVS (AISI316)</v>
      </c>
      <c r="AE301" s="19">
        <v>14</v>
      </c>
      <c r="AF301" s="355">
        <v>102</v>
      </c>
      <c r="AI301" s="64" t="str">
        <f t="shared" si="84"/>
        <v>Polypropyleen24mm</v>
      </c>
      <c r="AJ301" t="s">
        <v>127</v>
      </c>
      <c r="AK301" s="19" t="s">
        <v>362</v>
      </c>
      <c r="AL301" s="328">
        <f>5.579*9.81</f>
        <v>54.729990000000001</v>
      </c>
      <c r="AM301"/>
      <c r="AY301" s="64" t="str">
        <f t="shared" si="68"/>
        <v>6x36 FERVS (AISI316)14</v>
      </c>
      <c r="AZ301" t="str">
        <f t="shared" si="83"/>
        <v>6x36 FERVS (AISI316)</v>
      </c>
      <c r="BA301" s="19">
        <v>14</v>
      </c>
      <c r="BB301" s="355">
        <v>102</v>
      </c>
      <c r="BC301" s="19"/>
    </row>
    <row r="302" spans="29:55" x14ac:dyDescent="0.25">
      <c r="AC302" s="64" t="str">
        <f t="shared" si="81"/>
        <v>6x36 FERVS (AISI316)15</v>
      </c>
      <c r="AD302" t="str">
        <f t="shared" si="82"/>
        <v>6x36 FERVS (AISI316)</v>
      </c>
      <c r="AE302" s="19">
        <v>15</v>
      </c>
      <c r="AF302" s="356" t="s">
        <v>412</v>
      </c>
      <c r="AI302" s="64" t="str">
        <f t="shared" si="84"/>
        <v>Polypropyleen26mm</v>
      </c>
      <c r="AJ302" t="s">
        <v>127</v>
      </c>
      <c r="AK302" s="310" t="s">
        <v>629</v>
      </c>
      <c r="AL302" s="328" t="s">
        <v>412</v>
      </c>
      <c r="AM302"/>
      <c r="AY302" s="64" t="str">
        <f t="shared" si="68"/>
        <v>6x36 FERVS (AISI316)15</v>
      </c>
      <c r="AZ302" t="str">
        <f t="shared" si="83"/>
        <v>6x36 FERVS (AISI316)</v>
      </c>
      <c r="BA302" s="19">
        <v>15</v>
      </c>
      <c r="BB302" s="356" t="s">
        <v>412</v>
      </c>
      <c r="BC302" s="19"/>
    </row>
    <row r="303" spans="29:55" x14ac:dyDescent="0.25">
      <c r="AC303" s="64" t="str">
        <f t="shared" si="81"/>
        <v>6x36 FERVS (AISI316)16</v>
      </c>
      <c r="AD303" t="str">
        <f t="shared" si="82"/>
        <v>6x36 FERVS (AISI316)</v>
      </c>
      <c r="AE303" s="19">
        <v>16</v>
      </c>
      <c r="AF303" s="355">
        <v>133</v>
      </c>
      <c r="AI303" s="64" t="str">
        <f t="shared" ref="AI303:AI306" si="85">+AJ303&amp;AK303</f>
        <v>Polypropyleen28mm</v>
      </c>
      <c r="AJ303" t="s">
        <v>127</v>
      </c>
      <c r="AK303" s="19" t="s">
        <v>363</v>
      </c>
      <c r="AL303" s="328">
        <f>6.3*9.81</f>
        <v>61.803000000000004</v>
      </c>
      <c r="AM303"/>
      <c r="AY303" s="64" t="str">
        <f t="shared" si="68"/>
        <v>6x36 FERVS (AISI316)16</v>
      </c>
      <c r="AZ303" t="str">
        <f t="shared" si="83"/>
        <v>6x36 FERVS (AISI316)</v>
      </c>
      <c r="BA303" s="19">
        <v>16</v>
      </c>
      <c r="BB303" s="355">
        <v>133</v>
      </c>
      <c r="BC303" s="19"/>
    </row>
    <row r="304" spans="29:55" x14ac:dyDescent="0.25">
      <c r="AC304" s="64" t="str">
        <f t="shared" si="81"/>
        <v>6x36 FERVS (AISI316)17</v>
      </c>
      <c r="AD304" t="str">
        <f t="shared" si="82"/>
        <v>6x36 FERVS (AISI316)</v>
      </c>
      <c r="AE304" s="19">
        <v>17</v>
      </c>
      <c r="AF304" s="356" t="s">
        <v>412</v>
      </c>
      <c r="AI304" s="64" t="str">
        <f t="shared" si="85"/>
        <v>Polypropyleen30mm</v>
      </c>
      <c r="AJ304" t="s">
        <v>127</v>
      </c>
      <c r="AK304" s="19" t="s">
        <v>364</v>
      </c>
      <c r="AL304" s="328" t="s">
        <v>412</v>
      </c>
      <c r="AM304"/>
      <c r="AY304" s="64" t="str">
        <f t="shared" si="68"/>
        <v>6x36 FERVS (AISI316)17</v>
      </c>
      <c r="AZ304" t="str">
        <f t="shared" si="83"/>
        <v>6x36 FERVS (AISI316)</v>
      </c>
      <c r="BA304" s="19">
        <v>17</v>
      </c>
      <c r="BB304" s="356" t="s">
        <v>412</v>
      </c>
      <c r="BC304" s="19"/>
    </row>
    <row r="305" spans="29:55" x14ac:dyDescent="0.25">
      <c r="AC305" s="64" t="str">
        <f t="shared" si="81"/>
        <v>6x36 FERVS (AISI316)18</v>
      </c>
      <c r="AD305" t="str">
        <f t="shared" si="82"/>
        <v>6x36 FERVS (AISI316)</v>
      </c>
      <c r="AE305" s="19">
        <v>18</v>
      </c>
      <c r="AF305" s="355">
        <v>168</v>
      </c>
      <c r="AI305" s="64" t="str">
        <f t="shared" si="85"/>
        <v>Polypropyleen32mm</v>
      </c>
      <c r="AJ305" t="s">
        <v>127</v>
      </c>
      <c r="AK305" s="19" t="s">
        <v>365</v>
      </c>
      <c r="AL305" s="328">
        <f>8.01*9.81</f>
        <v>78.578100000000006</v>
      </c>
      <c r="AM305"/>
      <c r="AY305" s="64" t="str">
        <f t="shared" si="68"/>
        <v>6x36 FERVS (AISI316)18</v>
      </c>
      <c r="AZ305" t="str">
        <f t="shared" si="83"/>
        <v>6x36 FERVS (AISI316)</v>
      </c>
      <c r="BA305" s="19">
        <v>18</v>
      </c>
      <c r="BB305" s="355">
        <v>168</v>
      </c>
      <c r="BC305" s="19"/>
    </row>
    <row r="306" spans="29:55" x14ac:dyDescent="0.25">
      <c r="AC306" s="64" t="str">
        <f t="shared" si="81"/>
        <v>6x36 FERVS (AISI316)19</v>
      </c>
      <c r="AD306" t="str">
        <f t="shared" si="82"/>
        <v>6x36 FERVS (AISI316)</v>
      </c>
      <c r="AE306" s="19">
        <v>19</v>
      </c>
      <c r="AF306" s="356" t="s">
        <v>412</v>
      </c>
      <c r="AI306" s="64" t="str">
        <f t="shared" si="85"/>
        <v>Polypropyleen36mm</v>
      </c>
      <c r="AJ306" t="s">
        <v>127</v>
      </c>
      <c r="AK306" s="19" t="s">
        <v>366</v>
      </c>
      <c r="AL306" s="316" t="s">
        <v>412</v>
      </c>
      <c r="AM306"/>
      <c r="AY306" s="64" t="str">
        <f t="shared" si="68"/>
        <v>6x36 FERVS (AISI316)19</v>
      </c>
      <c r="AZ306" t="str">
        <f t="shared" si="83"/>
        <v>6x36 FERVS (AISI316)</v>
      </c>
      <c r="BA306" s="19">
        <v>19</v>
      </c>
      <c r="BB306" s="356" t="s">
        <v>412</v>
      </c>
      <c r="BC306" s="19"/>
    </row>
    <row r="307" spans="29:55" x14ac:dyDescent="0.25">
      <c r="AC307" s="64" t="str">
        <f t="shared" si="81"/>
        <v>6x36 FERVS (AISI316)20</v>
      </c>
      <c r="AD307" t="str">
        <f t="shared" si="82"/>
        <v>6x36 FERVS (AISI316)</v>
      </c>
      <c r="AE307" s="19">
        <v>20</v>
      </c>
      <c r="AF307" s="355">
        <v>207</v>
      </c>
      <c r="AI307" s="64" t="str">
        <f t="shared" ref="AI307" si="86">+AJ307&amp;AK307</f>
        <v>Polypropyleen38mm</v>
      </c>
      <c r="AJ307" t="s">
        <v>127</v>
      </c>
      <c r="AK307" s="19" t="s">
        <v>885</v>
      </c>
      <c r="AL307" s="316" t="s">
        <v>412</v>
      </c>
      <c r="AM307"/>
      <c r="AY307" s="64" t="str">
        <f t="shared" si="68"/>
        <v>6x36 FERVS (AISI316)20</v>
      </c>
      <c r="AZ307" t="str">
        <f t="shared" si="83"/>
        <v>6x36 FERVS (AISI316)</v>
      </c>
      <c r="BA307" s="19">
        <v>20</v>
      </c>
      <c r="BB307" s="355">
        <v>207</v>
      </c>
      <c r="BC307" s="19"/>
    </row>
    <row r="308" spans="29:55" x14ac:dyDescent="0.25">
      <c r="AC308" s="64" t="str">
        <f t="shared" ref="AC308:AC313" si="87">AD308&amp;AE308</f>
        <v>6x36 FERVS (AISI316)22</v>
      </c>
      <c r="AD308" t="str">
        <f>$AD$290</f>
        <v>6x36 FERVS (AISI316)</v>
      </c>
      <c r="AE308" s="19">
        <v>22</v>
      </c>
      <c r="AF308" s="356">
        <v>251</v>
      </c>
      <c r="AI308" s="64" t="str">
        <f t="shared" ref="AI308:AI330" si="88">+AJ308&amp;AK308</f>
        <v>Polypropyleen44mm</v>
      </c>
      <c r="AJ308" t="s">
        <v>127</v>
      </c>
      <c r="AK308" s="19" t="s">
        <v>367</v>
      </c>
      <c r="AL308" s="316" t="s">
        <v>412</v>
      </c>
      <c r="AM308"/>
      <c r="AY308" s="64" t="str">
        <f t="shared" ref="AY308:AY330" si="89">AZ308&amp;BA308</f>
        <v>6x36 FERVS (AISI316)22</v>
      </c>
      <c r="AZ308" t="str">
        <f>$AD$290</f>
        <v>6x36 FERVS (AISI316)</v>
      </c>
      <c r="BA308" s="19">
        <v>22</v>
      </c>
      <c r="BB308" s="356">
        <v>251</v>
      </c>
      <c r="BC308" s="19"/>
    </row>
    <row r="309" spans="29:55" x14ac:dyDescent="0.25">
      <c r="AC309" s="64" t="str">
        <f t="shared" si="87"/>
        <v>6x36 FERVS (AISI316)24</v>
      </c>
      <c r="AD309" t="str">
        <f>$AD$290</f>
        <v>6x36 FERVS (AISI316)</v>
      </c>
      <c r="AE309" s="19">
        <v>24</v>
      </c>
      <c r="AF309" s="356">
        <v>298</v>
      </c>
      <c r="AI309" s="64" t="str">
        <f t="shared" si="88"/>
        <v>Polypropyleen48mm</v>
      </c>
      <c r="AJ309" t="s">
        <v>127</v>
      </c>
      <c r="AK309" s="19" t="s">
        <v>368</v>
      </c>
      <c r="AL309" s="316" t="s">
        <v>412</v>
      </c>
      <c r="AM309"/>
      <c r="AY309" s="64" t="str">
        <f t="shared" si="89"/>
        <v>6x36 FERVS (AISI316)24</v>
      </c>
      <c r="AZ309" t="str">
        <f>$AD$290</f>
        <v>6x36 FERVS (AISI316)</v>
      </c>
      <c r="BA309" s="19">
        <v>24</v>
      </c>
      <c r="BB309" s="356">
        <v>298</v>
      </c>
      <c r="BC309" s="19"/>
    </row>
    <row r="310" spans="29:55" x14ac:dyDescent="0.25">
      <c r="AC310" s="64" t="str">
        <f t="shared" si="87"/>
        <v>6x36 FERVS (AISI316)26</v>
      </c>
      <c r="AD310" t="str">
        <f>$AD$290</f>
        <v>6x36 FERVS (AISI316)</v>
      </c>
      <c r="AE310" s="19">
        <v>26</v>
      </c>
      <c r="AF310" s="356">
        <v>328</v>
      </c>
      <c r="AI310" s="64" t="str">
        <f t="shared" si="88"/>
        <v>Polypropyleen50mm</v>
      </c>
      <c r="AJ310" t="s">
        <v>127</v>
      </c>
      <c r="AK310" s="19" t="s">
        <v>886</v>
      </c>
      <c r="AL310" s="316" t="s">
        <v>412</v>
      </c>
      <c r="AM310"/>
      <c r="AY310" s="64" t="str">
        <f t="shared" si="89"/>
        <v>6x36 FERVS (AISI316)26</v>
      </c>
      <c r="AZ310" t="str">
        <f>$AD$290</f>
        <v>6x36 FERVS (AISI316)</v>
      </c>
      <c r="BA310" s="19">
        <v>26</v>
      </c>
      <c r="BB310" s="356">
        <v>328</v>
      </c>
      <c r="BC310" s="19"/>
    </row>
    <row r="311" spans="29:55" x14ac:dyDescent="0.25">
      <c r="AC311" s="64" t="str">
        <f t="shared" si="87"/>
        <v>6x36 FERVS (AISI316)28</v>
      </c>
      <c r="AD311" t="str">
        <f>$AD$290</f>
        <v>6x36 FERVS (AISI316)</v>
      </c>
      <c r="AE311" s="19">
        <v>28</v>
      </c>
      <c r="AF311" s="356">
        <v>380</v>
      </c>
      <c r="AI311" s="64" t="str">
        <f t="shared" si="88"/>
        <v>Polypropyleen52mm</v>
      </c>
      <c r="AJ311" t="s">
        <v>127</v>
      </c>
      <c r="AK311" s="19" t="s">
        <v>369</v>
      </c>
      <c r="AL311" s="316" t="s">
        <v>412</v>
      </c>
      <c r="AM311"/>
      <c r="AY311" s="64" t="str">
        <f t="shared" si="89"/>
        <v>6x36 FERVS (AISI316)28</v>
      </c>
      <c r="AZ311" t="str">
        <f>$AD$290</f>
        <v>6x36 FERVS (AISI316)</v>
      </c>
      <c r="BA311" s="19">
        <v>28</v>
      </c>
      <c r="BB311" s="356">
        <v>380</v>
      </c>
      <c r="BC311" s="19"/>
    </row>
    <row r="312" spans="29:55" x14ac:dyDescent="0.25">
      <c r="AC312" s="64" t="str">
        <f t="shared" si="87"/>
        <v>6x36 FERVS (AISI316)30</v>
      </c>
      <c r="AD312" t="str">
        <f>$AD$290</f>
        <v>6x36 FERVS (AISI316)</v>
      </c>
      <c r="AE312" s="379">
        <v>30</v>
      </c>
      <c r="AF312" s="356">
        <v>437</v>
      </c>
      <c r="AI312" s="64" t="str">
        <f t="shared" si="88"/>
        <v>Polypropyleen1/4"</v>
      </c>
      <c r="AJ312" t="s">
        <v>127</v>
      </c>
      <c r="AK312" s="309" t="s">
        <v>346</v>
      </c>
      <c r="AL312" s="316" t="s">
        <v>412</v>
      </c>
      <c r="AM312"/>
      <c r="AY312" s="64" t="str">
        <f t="shared" si="89"/>
        <v>6x36 FERVS (AISI316)30</v>
      </c>
      <c r="AZ312" t="str">
        <f>$AD$290</f>
        <v>6x36 FERVS (AISI316)</v>
      </c>
      <c r="BA312" s="379">
        <v>30</v>
      </c>
      <c r="BB312" s="356">
        <v>437</v>
      </c>
      <c r="BC312" s="19"/>
    </row>
    <row r="313" spans="29:55" x14ac:dyDescent="0.25">
      <c r="AC313" s="373" t="str">
        <f t="shared" si="87"/>
        <v>6x36 SERVS (AISI316)3</v>
      </c>
      <c r="AD313" s="374" t="str">
        <f>AD8&amp;AC6</f>
        <v>6x36 SERVS (AISI316)</v>
      </c>
      <c r="AE313" s="63">
        <v>3</v>
      </c>
      <c r="AF313" s="375" t="s">
        <v>412</v>
      </c>
      <c r="AI313" s="64" t="str">
        <f t="shared" si="88"/>
        <v>Polypropyleen5/16"</v>
      </c>
      <c r="AJ313" t="s">
        <v>127</v>
      </c>
      <c r="AK313" s="309" t="s">
        <v>347</v>
      </c>
      <c r="AL313" s="316" t="s">
        <v>412</v>
      </c>
      <c r="AM313"/>
      <c r="AY313" s="373" t="str">
        <f t="shared" si="89"/>
        <v>6x36 SERVS (AISI316)3</v>
      </c>
      <c r="AZ313" s="374" t="str">
        <f>AZ7&amp;AY6</f>
        <v>6x36 SERVS (AISI316)</v>
      </c>
      <c r="BA313" s="63">
        <v>3</v>
      </c>
      <c r="BB313" s="375" t="s">
        <v>412</v>
      </c>
      <c r="BC313" s="63"/>
    </row>
    <row r="314" spans="29:55" x14ac:dyDescent="0.25">
      <c r="AC314" s="64" t="str">
        <f t="shared" ref="AC314:AC330" si="90">AD314&amp;AE314</f>
        <v>6x36 SERVS (AISI316)4</v>
      </c>
      <c r="AD314" t="str">
        <f t="shared" ref="AD314:AD330" si="91">$AD$313</f>
        <v>6x36 SERVS (AISI316)</v>
      </c>
      <c r="AE314" s="19">
        <v>4</v>
      </c>
      <c r="AF314" s="356" t="s">
        <v>412</v>
      </c>
      <c r="AI314" s="64" t="str">
        <f t="shared" si="88"/>
        <v>Polypropyleen3/8"</v>
      </c>
      <c r="AJ314" t="s">
        <v>127</v>
      </c>
      <c r="AK314" s="310" t="s">
        <v>348</v>
      </c>
      <c r="AL314" s="316" t="s">
        <v>412</v>
      </c>
      <c r="AM314"/>
      <c r="AY314" s="64" t="str">
        <f t="shared" si="89"/>
        <v>6x36 SERVS (AISI316)4</v>
      </c>
      <c r="AZ314" t="str">
        <f t="shared" ref="AZ314:AZ330" si="92">$AD$313</f>
        <v>6x36 SERVS (AISI316)</v>
      </c>
      <c r="BA314" s="19">
        <v>4</v>
      </c>
      <c r="BB314" s="356" t="s">
        <v>412</v>
      </c>
      <c r="BC314" s="19"/>
    </row>
    <row r="315" spans="29:55" x14ac:dyDescent="0.25">
      <c r="AC315" s="64" t="str">
        <f t="shared" si="90"/>
        <v>6x36 SERVS (AISI316)5</v>
      </c>
      <c r="AD315" t="str">
        <f t="shared" si="91"/>
        <v>6x36 SERVS (AISI316)</v>
      </c>
      <c r="AE315" s="19">
        <v>5</v>
      </c>
      <c r="AF315" s="356" t="s">
        <v>412</v>
      </c>
      <c r="AI315" s="64" t="str">
        <f t="shared" si="88"/>
        <v>Polypropyleen7/16"</v>
      </c>
      <c r="AJ315" t="s">
        <v>127</v>
      </c>
      <c r="AK315" s="310" t="s">
        <v>349</v>
      </c>
      <c r="AL315" s="316" t="s">
        <v>412</v>
      </c>
      <c r="AM315"/>
      <c r="AY315" s="64" t="str">
        <f t="shared" si="89"/>
        <v>6x36 SERVS (AISI316)5</v>
      </c>
      <c r="AZ315" t="str">
        <f t="shared" si="92"/>
        <v>6x36 SERVS (AISI316)</v>
      </c>
      <c r="BA315" s="19">
        <v>5</v>
      </c>
      <c r="BB315" s="356" t="s">
        <v>412</v>
      </c>
      <c r="BC315" s="19"/>
    </row>
    <row r="316" spans="29:55" x14ac:dyDescent="0.25">
      <c r="AC316" s="64" t="str">
        <f t="shared" si="90"/>
        <v>6x36 SERVS (AISI316)6</v>
      </c>
      <c r="AD316" t="str">
        <f t="shared" si="91"/>
        <v>6x36 SERVS (AISI316)</v>
      </c>
      <c r="AE316" s="19">
        <v>6</v>
      </c>
      <c r="AF316" s="356" t="s">
        <v>412</v>
      </c>
      <c r="AI316" s="64" t="str">
        <f t="shared" si="88"/>
        <v>Polypropyleen1/2"</v>
      </c>
      <c r="AJ316" t="s">
        <v>127</v>
      </c>
      <c r="AK316" s="310" t="s">
        <v>350</v>
      </c>
      <c r="AL316" s="316" t="s">
        <v>412</v>
      </c>
      <c r="AM316"/>
      <c r="AY316" s="64" t="str">
        <f t="shared" si="89"/>
        <v>6x36 SERVS (AISI316)6</v>
      </c>
      <c r="AZ316" t="str">
        <f t="shared" si="92"/>
        <v>6x36 SERVS (AISI316)</v>
      </c>
      <c r="BA316" s="19">
        <v>6</v>
      </c>
      <c r="BB316" s="356" t="s">
        <v>412</v>
      </c>
      <c r="BC316" s="19"/>
    </row>
    <row r="317" spans="29:55" x14ac:dyDescent="0.25">
      <c r="AC317" s="64" t="str">
        <f t="shared" si="90"/>
        <v>6x36 SERVS (AISI316)7</v>
      </c>
      <c r="AD317" t="str">
        <f t="shared" si="91"/>
        <v>6x36 SERVS (AISI316)</v>
      </c>
      <c r="AE317" s="19">
        <v>7</v>
      </c>
      <c r="AF317" s="356" t="s">
        <v>412</v>
      </c>
      <c r="AI317" s="64" t="str">
        <f t="shared" si="88"/>
        <v>Polypropyleen5/8"</v>
      </c>
      <c r="AJ317" t="s">
        <v>127</v>
      </c>
      <c r="AK317" s="310" t="s">
        <v>351</v>
      </c>
      <c r="AL317" s="316" t="s">
        <v>412</v>
      </c>
      <c r="AM317"/>
      <c r="AY317" s="64" t="str">
        <f t="shared" si="89"/>
        <v>6x36 SERVS (AISI316)7</v>
      </c>
      <c r="AZ317" t="str">
        <f t="shared" si="92"/>
        <v>6x36 SERVS (AISI316)</v>
      </c>
      <c r="BA317" s="19">
        <v>7</v>
      </c>
      <c r="BB317" s="356" t="s">
        <v>412</v>
      </c>
      <c r="BC317" s="19"/>
    </row>
    <row r="318" spans="29:55" x14ac:dyDescent="0.25">
      <c r="AC318" s="64" t="str">
        <f t="shared" si="90"/>
        <v>6x36 SERVS (AISI316)8</v>
      </c>
      <c r="AD318" t="str">
        <f t="shared" si="91"/>
        <v>6x36 SERVS (AISI316)</v>
      </c>
      <c r="AE318" s="19">
        <v>8</v>
      </c>
      <c r="AF318" s="355" t="s">
        <v>412</v>
      </c>
      <c r="AI318" s="64" t="str">
        <f t="shared" si="88"/>
        <v>Polypropyleen3/4"</v>
      </c>
      <c r="AJ318" t="s">
        <v>127</v>
      </c>
      <c r="AK318" s="310" t="s">
        <v>352</v>
      </c>
      <c r="AL318" s="316" t="s">
        <v>412</v>
      </c>
      <c r="AM318"/>
      <c r="AY318" s="64" t="str">
        <f t="shared" si="89"/>
        <v>6x36 SERVS (AISI316)8</v>
      </c>
      <c r="AZ318" t="str">
        <f t="shared" si="92"/>
        <v>6x36 SERVS (AISI316)</v>
      </c>
      <c r="BA318" s="19">
        <v>8</v>
      </c>
      <c r="BB318" s="355" t="s">
        <v>412</v>
      </c>
      <c r="BC318" s="19"/>
    </row>
    <row r="319" spans="29:55" x14ac:dyDescent="0.25">
      <c r="AC319" s="64" t="str">
        <f t="shared" si="90"/>
        <v>6x36 SERVS (AISI316)9</v>
      </c>
      <c r="AD319" t="str">
        <f t="shared" si="91"/>
        <v>6x36 SERVS (AISI316)</v>
      </c>
      <c r="AE319" s="19">
        <v>9</v>
      </c>
      <c r="AF319" s="356" t="s">
        <v>412</v>
      </c>
      <c r="AI319" s="64" t="str">
        <f t="shared" si="88"/>
        <v>Polypropyleen7/8"</v>
      </c>
      <c r="AJ319" t="s">
        <v>127</v>
      </c>
      <c r="AK319" s="310" t="s">
        <v>353</v>
      </c>
      <c r="AL319" s="316" t="s">
        <v>412</v>
      </c>
      <c r="AM319"/>
      <c r="AY319" s="64" t="str">
        <f t="shared" si="89"/>
        <v>6x36 SERVS (AISI316)9</v>
      </c>
      <c r="AZ319" t="str">
        <f t="shared" si="92"/>
        <v>6x36 SERVS (AISI316)</v>
      </c>
      <c r="BA319" s="19">
        <v>9</v>
      </c>
      <c r="BB319" s="356" t="s">
        <v>412</v>
      </c>
      <c r="BC319" s="19"/>
    </row>
    <row r="320" spans="29:55" x14ac:dyDescent="0.25">
      <c r="AC320" s="64" t="str">
        <f t="shared" si="90"/>
        <v>6x36 SERVS (AISI316)10</v>
      </c>
      <c r="AD320" t="str">
        <f t="shared" si="91"/>
        <v>6x36 SERVS (AISI316)</v>
      </c>
      <c r="AE320" s="19">
        <v>10</v>
      </c>
      <c r="AF320" s="355">
        <v>55.9</v>
      </c>
      <c r="AI320" s="64" t="str">
        <f t="shared" si="88"/>
        <v>Polypropyleen1"</v>
      </c>
      <c r="AJ320" t="s">
        <v>127</v>
      </c>
      <c r="AK320" s="310" t="s">
        <v>354</v>
      </c>
      <c r="AL320" s="316" t="s">
        <v>412</v>
      </c>
      <c r="AM320"/>
      <c r="AY320" s="64" t="str">
        <f t="shared" si="89"/>
        <v>6x36 SERVS (AISI316)10</v>
      </c>
      <c r="AZ320" t="str">
        <f t="shared" si="92"/>
        <v>6x36 SERVS (AISI316)</v>
      </c>
      <c r="BA320" s="19">
        <v>10</v>
      </c>
      <c r="BB320" s="355">
        <v>55.9</v>
      </c>
      <c r="BC320" s="19"/>
    </row>
    <row r="321" spans="29:55" x14ac:dyDescent="0.25">
      <c r="AC321" s="64" t="str">
        <f t="shared" si="90"/>
        <v>6x36 SERVS (AISI316)11</v>
      </c>
      <c r="AD321" t="str">
        <f t="shared" si="91"/>
        <v>6x36 SERVS (AISI316)</v>
      </c>
      <c r="AE321" s="19">
        <v>11</v>
      </c>
      <c r="AF321" s="356" t="s">
        <v>412</v>
      </c>
      <c r="AI321" s="64" t="str">
        <f t="shared" si="88"/>
        <v>Polypropyleen1 1/8"</v>
      </c>
      <c r="AJ321" t="s">
        <v>127</v>
      </c>
      <c r="AK321" s="310" t="s">
        <v>355</v>
      </c>
      <c r="AL321" s="316" t="s">
        <v>412</v>
      </c>
      <c r="AM321"/>
      <c r="AY321" s="64" t="str">
        <f t="shared" si="89"/>
        <v>6x36 SERVS (AISI316)11</v>
      </c>
      <c r="AZ321" t="str">
        <f t="shared" si="92"/>
        <v>6x36 SERVS (AISI316)</v>
      </c>
      <c r="BA321" s="19">
        <v>11</v>
      </c>
      <c r="BB321" s="356" t="s">
        <v>412</v>
      </c>
      <c r="BC321" s="19"/>
    </row>
    <row r="322" spans="29:55" x14ac:dyDescent="0.25">
      <c r="AC322" s="64" t="str">
        <f t="shared" si="90"/>
        <v>6x36 SERVS (AISI316)12</v>
      </c>
      <c r="AD322" t="str">
        <f t="shared" si="91"/>
        <v>6x36 SERVS (AISI316)</v>
      </c>
      <c r="AE322" s="19">
        <v>12</v>
      </c>
      <c r="AF322" s="355">
        <v>80.5</v>
      </c>
      <c r="AI322" s="64" t="str">
        <f t="shared" si="88"/>
        <v>Polypropyleen1 1/4"</v>
      </c>
      <c r="AJ322" t="s">
        <v>127</v>
      </c>
      <c r="AK322" s="310" t="s">
        <v>356</v>
      </c>
      <c r="AL322" s="316" t="s">
        <v>412</v>
      </c>
      <c r="AM322"/>
      <c r="AY322" s="64" t="str">
        <f t="shared" si="89"/>
        <v>6x36 SERVS (AISI316)12</v>
      </c>
      <c r="AZ322" t="str">
        <f t="shared" si="92"/>
        <v>6x36 SERVS (AISI316)</v>
      </c>
      <c r="BA322" s="19">
        <v>12</v>
      </c>
      <c r="BB322" s="355">
        <v>80.5</v>
      </c>
      <c r="BC322" s="19"/>
    </row>
    <row r="323" spans="29:55" x14ac:dyDescent="0.25">
      <c r="AC323" s="64" t="str">
        <f t="shared" si="90"/>
        <v>6x36 SERVS (AISI316)13</v>
      </c>
      <c r="AD323" t="str">
        <f t="shared" si="91"/>
        <v>6x36 SERVS (AISI316)</v>
      </c>
      <c r="AE323" s="19">
        <v>13</v>
      </c>
      <c r="AF323" s="356" t="s">
        <v>412</v>
      </c>
      <c r="AI323" s="64" t="str">
        <f t="shared" si="88"/>
        <v>Polypropyleen1 1/2"</v>
      </c>
      <c r="AJ323" t="s">
        <v>127</v>
      </c>
      <c r="AK323" s="310" t="s">
        <v>357</v>
      </c>
      <c r="AL323" s="316" t="s">
        <v>412</v>
      </c>
      <c r="AM323"/>
      <c r="AY323" s="64" t="str">
        <f t="shared" si="89"/>
        <v>6x36 SERVS (AISI316)13</v>
      </c>
      <c r="AZ323" t="str">
        <f t="shared" si="92"/>
        <v>6x36 SERVS (AISI316)</v>
      </c>
      <c r="BA323" s="19">
        <v>13</v>
      </c>
      <c r="BB323" s="356" t="s">
        <v>412</v>
      </c>
      <c r="BC323" s="19"/>
    </row>
    <row r="324" spans="29:55" x14ac:dyDescent="0.25">
      <c r="AC324" s="64" t="str">
        <f t="shared" si="90"/>
        <v>6x36 SERVS (AISI316)14</v>
      </c>
      <c r="AD324" t="str">
        <f t="shared" si="91"/>
        <v>6x36 SERVS (AISI316)</v>
      </c>
      <c r="AE324" s="19">
        <v>14</v>
      </c>
      <c r="AF324" s="355">
        <v>110</v>
      </c>
      <c r="AI324" s="64" t="str">
        <f t="shared" si="88"/>
        <v>Polypropyleen1 3/4"</v>
      </c>
      <c r="AJ324" t="s">
        <v>127</v>
      </c>
      <c r="AK324" s="310" t="s">
        <v>358</v>
      </c>
      <c r="AL324" s="316" t="s">
        <v>412</v>
      </c>
      <c r="AM324"/>
      <c r="AY324" s="64" t="str">
        <f t="shared" si="89"/>
        <v>6x36 SERVS (AISI316)14</v>
      </c>
      <c r="AZ324" t="str">
        <f t="shared" si="92"/>
        <v>6x36 SERVS (AISI316)</v>
      </c>
      <c r="BA324" s="19">
        <v>14</v>
      </c>
      <c r="BB324" s="355">
        <v>110</v>
      </c>
      <c r="BC324" s="19"/>
    </row>
    <row r="325" spans="29:55" x14ac:dyDescent="0.25">
      <c r="AC325" s="64" t="str">
        <f t="shared" si="90"/>
        <v>6x36 SERVS (AISI316)15</v>
      </c>
      <c r="AD325" t="str">
        <f t="shared" si="91"/>
        <v>6x36 SERVS (AISI316)</v>
      </c>
      <c r="AE325" s="19">
        <v>15</v>
      </c>
      <c r="AF325" s="356" t="s">
        <v>412</v>
      </c>
      <c r="AI325" s="64" t="str">
        <f t="shared" si="88"/>
        <v>Polypropyleen2"</v>
      </c>
      <c r="AJ325" t="s">
        <v>127</v>
      </c>
      <c r="AK325" s="310" t="s">
        <v>359</v>
      </c>
      <c r="AL325" s="316" t="s">
        <v>412</v>
      </c>
      <c r="AM325"/>
      <c r="AY325" s="64" t="str">
        <f t="shared" si="89"/>
        <v>6x36 SERVS (AISI316)15</v>
      </c>
      <c r="AZ325" t="str">
        <f t="shared" si="92"/>
        <v>6x36 SERVS (AISI316)</v>
      </c>
      <c r="BA325" s="19">
        <v>15</v>
      </c>
      <c r="BB325" s="356" t="s">
        <v>412</v>
      </c>
      <c r="BC325" s="19"/>
    </row>
    <row r="326" spans="29:55" x14ac:dyDescent="0.25">
      <c r="AC326" s="64" t="str">
        <f t="shared" si="90"/>
        <v>6x36 SERVS (AISI316)16</v>
      </c>
      <c r="AD326" t="str">
        <f t="shared" si="91"/>
        <v>6x36 SERVS (AISI316)</v>
      </c>
      <c r="AE326" s="19">
        <v>16</v>
      </c>
      <c r="AF326" s="355">
        <v>143</v>
      </c>
      <c r="AI326" s="62" t="str">
        <f t="shared" si="88"/>
        <v>Dyneema3mm</v>
      </c>
      <c r="AJ326" s="66" t="s">
        <v>113</v>
      </c>
      <c r="AK326" s="63" t="s">
        <v>630</v>
      </c>
      <c r="AL326" s="329">
        <f>1.414*9.81</f>
        <v>13.87134</v>
      </c>
      <c r="AM326"/>
      <c r="AY326" s="64" t="str">
        <f t="shared" si="89"/>
        <v>6x36 SERVS (AISI316)16</v>
      </c>
      <c r="AZ326" t="str">
        <f t="shared" si="92"/>
        <v>6x36 SERVS (AISI316)</v>
      </c>
      <c r="BA326" s="19">
        <v>16</v>
      </c>
      <c r="BB326" s="355">
        <v>143</v>
      </c>
      <c r="BC326" s="19"/>
    </row>
    <row r="327" spans="29:55" x14ac:dyDescent="0.25">
      <c r="AC327" s="64" t="str">
        <f t="shared" si="90"/>
        <v>6x36 SERVS (AISI316)17</v>
      </c>
      <c r="AD327" t="str">
        <f t="shared" si="91"/>
        <v>6x36 SERVS (AISI316)</v>
      </c>
      <c r="AE327" s="19">
        <v>17</v>
      </c>
      <c r="AF327" s="356" t="s">
        <v>412</v>
      </c>
      <c r="AI327" s="64" t="str">
        <f t="shared" si="88"/>
        <v>Dyneema4mm</v>
      </c>
      <c r="AJ327" t="s">
        <v>113</v>
      </c>
      <c r="AK327" s="19" t="s">
        <v>609</v>
      </c>
      <c r="AL327" s="327">
        <f>2.179*9.81</f>
        <v>21.375989999999998</v>
      </c>
      <c r="AM327"/>
      <c r="AY327" s="64" t="str">
        <f t="shared" si="89"/>
        <v>6x36 SERVS (AISI316)17</v>
      </c>
      <c r="AZ327" t="str">
        <f t="shared" si="92"/>
        <v>6x36 SERVS (AISI316)</v>
      </c>
      <c r="BA327" s="19">
        <v>17</v>
      </c>
      <c r="BB327" s="356" t="s">
        <v>412</v>
      </c>
      <c r="BC327" s="19"/>
    </row>
    <row r="328" spans="29:55" x14ac:dyDescent="0.25">
      <c r="AC328" s="64" t="str">
        <f t="shared" si="90"/>
        <v>6x36 SERVS (AISI316)18</v>
      </c>
      <c r="AD328" t="str">
        <f t="shared" si="91"/>
        <v>6x36 SERVS (AISI316)</v>
      </c>
      <c r="AE328" s="19">
        <v>18</v>
      </c>
      <c r="AF328" s="355">
        <v>181</v>
      </c>
      <c r="AI328" s="64" t="str">
        <f t="shared" si="88"/>
        <v>Dyneema5mm</v>
      </c>
      <c r="AJ328" t="s">
        <v>113</v>
      </c>
      <c r="AK328" s="19" t="s">
        <v>631</v>
      </c>
      <c r="AL328" s="327">
        <f>3.3*9.81</f>
        <v>32.372999999999998</v>
      </c>
      <c r="AM328"/>
      <c r="AY328" s="64" t="str">
        <f t="shared" si="89"/>
        <v>6x36 SERVS (AISI316)18</v>
      </c>
      <c r="AZ328" t="str">
        <f t="shared" si="92"/>
        <v>6x36 SERVS (AISI316)</v>
      </c>
      <c r="BA328" s="19">
        <v>18</v>
      </c>
      <c r="BB328" s="355">
        <v>181</v>
      </c>
      <c r="BC328" s="19"/>
    </row>
    <row r="329" spans="29:55" x14ac:dyDescent="0.25">
      <c r="AC329" s="64" t="str">
        <f t="shared" si="90"/>
        <v>6x36 SERVS (AISI316)19</v>
      </c>
      <c r="AD329" t="str">
        <f t="shared" si="91"/>
        <v>6x36 SERVS (AISI316)</v>
      </c>
      <c r="AE329" s="19">
        <v>19</v>
      </c>
      <c r="AF329" s="356" t="s">
        <v>412</v>
      </c>
      <c r="AI329" s="64" t="str">
        <f t="shared" si="88"/>
        <v>Dyneema6mm</v>
      </c>
      <c r="AJ329" t="s">
        <v>113</v>
      </c>
      <c r="AK329" s="19" t="s">
        <v>608</v>
      </c>
      <c r="AL329" s="327">
        <f>4.328*9.81</f>
        <v>42.457680000000003</v>
      </c>
      <c r="AM329"/>
      <c r="AY329" s="64" t="str">
        <f t="shared" si="89"/>
        <v>6x36 SERVS (AISI316)19</v>
      </c>
      <c r="AZ329" t="str">
        <f t="shared" si="92"/>
        <v>6x36 SERVS (AISI316)</v>
      </c>
      <c r="BA329" s="19">
        <v>19</v>
      </c>
      <c r="BB329" s="356" t="s">
        <v>412</v>
      </c>
      <c r="BC329" s="19"/>
    </row>
    <row r="330" spans="29:55" x14ac:dyDescent="0.25">
      <c r="AC330" s="64" t="str">
        <f t="shared" si="90"/>
        <v>6x36 SERVS (AISI316)20</v>
      </c>
      <c r="AD330" t="str">
        <f t="shared" si="91"/>
        <v>6x36 SERVS (AISI316)</v>
      </c>
      <c r="AE330" s="19">
        <v>20</v>
      </c>
      <c r="AF330" s="355">
        <v>224</v>
      </c>
      <c r="AI330" s="64" t="str">
        <f t="shared" si="88"/>
        <v>Dyneema8mm</v>
      </c>
      <c r="AJ330" t="s">
        <v>113</v>
      </c>
      <c r="AK330" s="19" t="s">
        <v>607</v>
      </c>
      <c r="AL330" s="327">
        <f>8.027*9.81</f>
        <v>78.744869999999992</v>
      </c>
      <c r="AM330"/>
      <c r="AY330" s="64" t="str">
        <f t="shared" si="89"/>
        <v>6x36 SERVS (AISI316)20</v>
      </c>
      <c r="AZ330" t="str">
        <f t="shared" si="92"/>
        <v>6x36 SERVS (AISI316)</v>
      </c>
      <c r="BA330" s="19">
        <v>20</v>
      </c>
      <c r="BB330" s="355">
        <v>224</v>
      </c>
      <c r="BC330" s="19"/>
    </row>
    <row r="331" spans="29:55" x14ac:dyDescent="0.25">
      <c r="AC331" s="64" t="str">
        <f>AD331&amp;AE331</f>
        <v>6x36 SERVS (AISI316)22</v>
      </c>
      <c r="AD331" t="str">
        <f>$AD$313</f>
        <v>6x36 SERVS (AISI316)</v>
      </c>
      <c r="AE331" s="19">
        <v>22</v>
      </c>
      <c r="AF331" s="356">
        <v>271</v>
      </c>
      <c r="AI331" s="64" t="str">
        <f t="shared" ref="AI331:AI340" si="93">+AJ331&amp;AK331</f>
        <v>Dyneema10mm</v>
      </c>
      <c r="AJ331" t="s">
        <v>113</v>
      </c>
      <c r="AK331" s="19" t="s">
        <v>606</v>
      </c>
      <c r="AL331" s="327">
        <f>9.809*9.81</f>
        <v>96.226289999999992</v>
      </c>
      <c r="AM331"/>
      <c r="AY331" s="64" t="str">
        <f>AZ331&amp;BA331</f>
        <v>6x36 SERVS (AISI316)22</v>
      </c>
      <c r="AZ331" t="str">
        <f>$AD$313</f>
        <v>6x36 SERVS (AISI316)</v>
      </c>
      <c r="BA331" s="19">
        <v>22</v>
      </c>
      <c r="BB331" s="356">
        <v>271</v>
      </c>
      <c r="BC331" s="19"/>
    </row>
    <row r="332" spans="29:55" x14ac:dyDescent="0.25">
      <c r="AC332" s="64" t="str">
        <f>AD332&amp;AE332</f>
        <v>6x36 SERVS (AISI316)24</v>
      </c>
      <c r="AD332" t="str">
        <f>$AD$313</f>
        <v>6x36 SERVS (AISI316)</v>
      </c>
      <c r="AE332" s="19">
        <v>24</v>
      </c>
      <c r="AF332" s="356">
        <v>322</v>
      </c>
      <c r="AI332" s="64" t="str">
        <f t="shared" si="93"/>
        <v>Dyneema12mm</v>
      </c>
      <c r="AJ332" t="s">
        <v>113</v>
      </c>
      <c r="AK332" s="19" t="s">
        <v>605</v>
      </c>
      <c r="AL332" s="355">
        <f>14.5*9.81</f>
        <v>142.245</v>
      </c>
      <c r="AM332"/>
      <c r="AY332" s="64" t="str">
        <f>AZ332&amp;BA332</f>
        <v>6x36 SERVS (AISI316)24</v>
      </c>
      <c r="AZ332" t="str">
        <f>$AD$313</f>
        <v>6x36 SERVS (AISI316)</v>
      </c>
      <c r="BA332" s="19">
        <v>24</v>
      </c>
      <c r="BB332" s="356">
        <v>322</v>
      </c>
      <c r="BC332" s="19"/>
    </row>
    <row r="333" spans="29:55" x14ac:dyDescent="0.25">
      <c r="AC333" s="64" t="str">
        <f>AD333&amp;AE333</f>
        <v>6x36 SERVS (AISI316)26</v>
      </c>
      <c r="AD333" t="str">
        <f>$AD$313</f>
        <v>6x36 SERVS (AISI316)</v>
      </c>
      <c r="AE333" s="19">
        <v>26</v>
      </c>
      <c r="AF333" s="356">
        <v>354</v>
      </c>
      <c r="AI333" s="64" t="str">
        <f t="shared" si="93"/>
        <v>Dyneema14mm</v>
      </c>
      <c r="AJ333" t="s">
        <v>113</v>
      </c>
      <c r="AK333" s="19" t="s">
        <v>604</v>
      </c>
      <c r="AL333" s="355">
        <f>18.1*9.81</f>
        <v>177.56100000000004</v>
      </c>
      <c r="AM333"/>
      <c r="AY333" s="64" t="str">
        <f>AZ333&amp;BA333</f>
        <v>6x36 SERVS (AISI316)26</v>
      </c>
      <c r="AZ333" t="str">
        <f>$AD$313</f>
        <v>6x36 SERVS (AISI316)</v>
      </c>
      <c r="BA333" s="19">
        <v>26</v>
      </c>
      <c r="BB333" s="356">
        <v>354</v>
      </c>
      <c r="BC333" s="19"/>
    </row>
    <row r="334" spans="29:55" x14ac:dyDescent="0.25">
      <c r="AC334" s="64" t="str">
        <f>AD334&amp;AE334</f>
        <v>6x36 SERVS (AISI316)28</v>
      </c>
      <c r="AD334" t="str">
        <f>$AD$313</f>
        <v>6x36 SERVS (AISI316)</v>
      </c>
      <c r="AE334" s="19">
        <v>28</v>
      </c>
      <c r="AF334" s="356">
        <v>410</v>
      </c>
      <c r="AI334" s="64" t="str">
        <f t="shared" si="93"/>
        <v>Dyneema16mm</v>
      </c>
      <c r="AJ334" t="s">
        <v>113</v>
      </c>
      <c r="AK334" s="19" t="s">
        <v>603</v>
      </c>
      <c r="AL334" s="355">
        <f>21.2*9.81</f>
        <v>207.97200000000001</v>
      </c>
      <c r="AM334"/>
      <c r="AY334" s="64" t="str">
        <f>AZ334&amp;BA334</f>
        <v>6x36 SERVS (AISI316)28</v>
      </c>
      <c r="AZ334" t="str">
        <f>$AD$313</f>
        <v>6x36 SERVS (AISI316)</v>
      </c>
      <c r="BA334" s="19">
        <v>28</v>
      </c>
      <c r="BB334" s="356">
        <v>410</v>
      </c>
      <c r="BC334" s="19"/>
    </row>
    <row r="335" spans="29:55" x14ac:dyDescent="0.25">
      <c r="AC335" s="64" t="str">
        <f>AD335&amp;AE335</f>
        <v>6x36 SERVS (AISI316)30</v>
      </c>
      <c r="AD335" t="str">
        <f>$AD$313</f>
        <v>6x36 SERVS (AISI316)</v>
      </c>
      <c r="AE335" s="379">
        <v>30</v>
      </c>
      <c r="AF335" s="356">
        <v>471</v>
      </c>
      <c r="AI335" s="64" t="str">
        <f t="shared" si="93"/>
        <v>Dyneema18mm</v>
      </c>
      <c r="AJ335" t="s">
        <v>113</v>
      </c>
      <c r="AK335" s="19" t="s">
        <v>360</v>
      </c>
      <c r="AL335" s="328">
        <f>30*9.81</f>
        <v>294.3</v>
      </c>
      <c r="AM335"/>
      <c r="AY335" s="64" t="str">
        <f>AZ335&amp;BA335</f>
        <v>6x36 SERVS (AISI316)30</v>
      </c>
      <c r="AZ335" t="str">
        <f>$AD$313</f>
        <v>6x36 SERVS (AISI316)</v>
      </c>
      <c r="BA335" s="379">
        <v>30</v>
      </c>
      <c r="BB335" s="356">
        <v>471</v>
      </c>
      <c r="BC335" s="19"/>
    </row>
    <row r="336" spans="29:55" x14ac:dyDescent="0.25">
      <c r="AC336" s="373" t="str">
        <f t="shared" ref="AC336:AC353" si="94">AD336&amp;AE336</f>
        <v>7x19RVS (AISI316)3</v>
      </c>
      <c r="AD336" s="374" t="str">
        <f>AD11&amp;AC6</f>
        <v>7x19RVS (AISI316)</v>
      </c>
      <c r="AE336" s="63">
        <v>3</v>
      </c>
      <c r="AF336" s="375">
        <v>4.6900000000000004</v>
      </c>
      <c r="AI336" s="64" t="str">
        <f t="shared" si="93"/>
        <v>Dyneema19mm</v>
      </c>
      <c r="AJ336" t="s">
        <v>113</v>
      </c>
      <c r="AK336" s="19" t="s">
        <v>624</v>
      </c>
      <c r="AL336" s="316" t="s">
        <v>412</v>
      </c>
      <c r="AM336"/>
      <c r="AY336" s="373" t="str">
        <f t="shared" ref="AY336:AY381" si="95">AZ336&amp;BA336</f>
        <v>7x19RVS (AISI316)3</v>
      </c>
      <c r="AZ336" s="374" t="str">
        <f>AZ10&amp;AY6</f>
        <v>7x19RVS (AISI316)</v>
      </c>
      <c r="BA336" s="63">
        <v>3</v>
      </c>
      <c r="BB336" s="375">
        <v>4.6900000000000004</v>
      </c>
      <c r="BC336" s="63"/>
    </row>
    <row r="337" spans="29:55" x14ac:dyDescent="0.25">
      <c r="AC337" s="64" t="str">
        <f t="shared" si="94"/>
        <v>7x19RVS (AISI316)4</v>
      </c>
      <c r="AD337" t="str">
        <f t="shared" ref="AD337:AD353" si="96">$AD$336</f>
        <v>7x19RVS (AISI316)</v>
      </c>
      <c r="AE337" s="19">
        <v>4</v>
      </c>
      <c r="AF337" s="356">
        <v>8.34</v>
      </c>
      <c r="AI337" s="64" t="str">
        <f t="shared" si="93"/>
        <v>Dyneema20mm</v>
      </c>
      <c r="AJ337" t="s">
        <v>113</v>
      </c>
      <c r="AK337" s="19" t="s">
        <v>623</v>
      </c>
      <c r="AL337" s="316" t="s">
        <v>412</v>
      </c>
      <c r="AM337"/>
      <c r="AY337" s="64" t="str">
        <f t="shared" si="95"/>
        <v>7x19RVS (AISI316)4</v>
      </c>
      <c r="AZ337" t="str">
        <f t="shared" ref="AZ337:AZ353" si="97">$AD$336</f>
        <v>7x19RVS (AISI316)</v>
      </c>
      <c r="BA337" s="19">
        <v>4</v>
      </c>
      <c r="BB337" s="356">
        <v>8.34</v>
      </c>
      <c r="BC337" s="19"/>
    </row>
    <row r="338" spans="29:55" x14ac:dyDescent="0.25">
      <c r="AC338" s="64" t="str">
        <f t="shared" si="94"/>
        <v>7x19RVS (AISI316)5</v>
      </c>
      <c r="AD338" t="str">
        <f t="shared" si="96"/>
        <v>7x19RVS (AISI316)</v>
      </c>
      <c r="AE338" s="19">
        <v>5</v>
      </c>
      <c r="AF338" s="356">
        <v>13</v>
      </c>
      <c r="AI338" s="64" t="str">
        <f t="shared" si="93"/>
        <v>Dyneema22mm</v>
      </c>
      <c r="AJ338" t="s">
        <v>113</v>
      </c>
      <c r="AK338" s="19" t="s">
        <v>361</v>
      </c>
      <c r="AL338" s="356">
        <f>36*9.81</f>
        <v>353.16</v>
      </c>
      <c r="AM338"/>
      <c r="AY338" s="64" t="str">
        <f t="shared" si="95"/>
        <v>7x19RVS (AISI316)5</v>
      </c>
      <c r="AZ338" t="str">
        <f t="shared" si="97"/>
        <v>7x19RVS (AISI316)</v>
      </c>
      <c r="BA338" s="19">
        <v>5</v>
      </c>
      <c r="BB338" s="356">
        <v>13</v>
      </c>
      <c r="BC338" s="19"/>
    </row>
    <row r="339" spans="29:55" x14ac:dyDescent="0.25">
      <c r="AC339" s="64" t="str">
        <f t="shared" si="94"/>
        <v>7x19RVS (AISI316)6</v>
      </c>
      <c r="AD339" t="str">
        <f t="shared" si="96"/>
        <v>7x19RVS (AISI316)</v>
      </c>
      <c r="AE339" s="19">
        <v>6</v>
      </c>
      <c r="AF339" s="356">
        <v>18.8</v>
      </c>
      <c r="AI339" s="64" t="str">
        <f t="shared" si="93"/>
        <v>Dyneema24mm</v>
      </c>
      <c r="AJ339" t="s">
        <v>113</v>
      </c>
      <c r="AK339" s="19" t="s">
        <v>362</v>
      </c>
      <c r="AL339" s="316" t="s">
        <v>412</v>
      </c>
      <c r="AM339"/>
      <c r="AY339" s="64" t="str">
        <f t="shared" si="95"/>
        <v>7x19RVS (AISI316)6</v>
      </c>
      <c r="AZ339" t="str">
        <f t="shared" si="97"/>
        <v>7x19RVS (AISI316)</v>
      </c>
      <c r="BA339" s="19">
        <v>6</v>
      </c>
      <c r="BB339" s="356">
        <v>18.8</v>
      </c>
      <c r="BC339" s="19"/>
    </row>
    <row r="340" spans="29:55" x14ac:dyDescent="0.25">
      <c r="AC340" s="64" t="str">
        <f t="shared" si="94"/>
        <v>7x19RVS (AISI316)7</v>
      </c>
      <c r="AD340" t="str">
        <f t="shared" si="96"/>
        <v>7x19RVS (AISI316)</v>
      </c>
      <c r="AE340" s="19">
        <v>7</v>
      </c>
      <c r="AF340" s="356">
        <v>25.5</v>
      </c>
      <c r="AI340" s="64" t="str">
        <f t="shared" si="93"/>
        <v>Dyneema26mm</v>
      </c>
      <c r="AJ340" t="s">
        <v>113</v>
      </c>
      <c r="AK340" s="310" t="s">
        <v>629</v>
      </c>
      <c r="AL340" s="316" t="s">
        <v>412</v>
      </c>
      <c r="AM340"/>
      <c r="AY340" s="64" t="str">
        <f t="shared" si="95"/>
        <v>7x19RVS (AISI316)7</v>
      </c>
      <c r="AZ340" t="str">
        <f t="shared" si="97"/>
        <v>7x19RVS (AISI316)</v>
      </c>
      <c r="BA340" s="19">
        <v>7</v>
      </c>
      <c r="BB340" s="356">
        <v>25.5</v>
      </c>
      <c r="BC340" s="19"/>
    </row>
    <row r="341" spans="29:55" x14ac:dyDescent="0.25">
      <c r="AC341" s="64" t="str">
        <f t="shared" si="94"/>
        <v>7x19RVS (AISI316)8</v>
      </c>
      <c r="AD341" t="str">
        <f t="shared" si="96"/>
        <v>7x19RVS (AISI316)</v>
      </c>
      <c r="AE341" s="19">
        <v>8</v>
      </c>
      <c r="AF341" s="355">
        <v>33.4</v>
      </c>
      <c r="AI341" s="64" t="str">
        <f t="shared" ref="AI341:AI344" si="98">+AJ341&amp;AK341</f>
        <v>Dyneema28mm</v>
      </c>
      <c r="AJ341" t="s">
        <v>113</v>
      </c>
      <c r="AK341" s="19" t="s">
        <v>363</v>
      </c>
      <c r="AL341" s="316" t="s">
        <v>412</v>
      </c>
      <c r="AM341"/>
      <c r="AY341" s="64" t="str">
        <f t="shared" si="95"/>
        <v>7x19RVS (AISI316)8</v>
      </c>
      <c r="AZ341" t="str">
        <f t="shared" si="97"/>
        <v>7x19RVS (AISI316)</v>
      </c>
      <c r="BA341" s="19">
        <v>8</v>
      </c>
      <c r="BB341" s="355">
        <v>33.4</v>
      </c>
      <c r="BC341" s="19"/>
    </row>
    <row r="342" spans="29:55" x14ac:dyDescent="0.25">
      <c r="AC342" s="64" t="str">
        <f t="shared" si="94"/>
        <v>7x19RVS (AISI316)9</v>
      </c>
      <c r="AD342" t="str">
        <f t="shared" si="96"/>
        <v>7x19RVS (AISI316)</v>
      </c>
      <c r="AE342" s="19">
        <v>9</v>
      </c>
      <c r="AF342" s="356" t="s">
        <v>412</v>
      </c>
      <c r="AI342" s="64" t="str">
        <f t="shared" si="98"/>
        <v>Dyneema30mm</v>
      </c>
      <c r="AJ342" t="s">
        <v>113</v>
      </c>
      <c r="AK342" s="19" t="s">
        <v>364</v>
      </c>
      <c r="AL342" s="316" t="s">
        <v>412</v>
      </c>
      <c r="AM342"/>
      <c r="AY342" s="64" t="str">
        <f t="shared" si="95"/>
        <v>7x19RVS (AISI316)9</v>
      </c>
      <c r="AZ342" t="str">
        <f t="shared" si="97"/>
        <v>7x19RVS (AISI316)</v>
      </c>
      <c r="BA342" s="19">
        <v>9</v>
      </c>
      <c r="BB342" s="356" t="s">
        <v>412</v>
      </c>
      <c r="BC342" s="19"/>
    </row>
    <row r="343" spans="29:55" x14ac:dyDescent="0.25">
      <c r="AC343" s="64" t="str">
        <f t="shared" si="94"/>
        <v>7x19RVS (AISI316)10</v>
      </c>
      <c r="AD343" t="str">
        <f t="shared" si="96"/>
        <v>7x19RVS (AISI316)</v>
      </c>
      <c r="AE343" s="19">
        <v>10</v>
      </c>
      <c r="AF343" s="355">
        <v>52.1</v>
      </c>
      <c r="AI343" s="64" t="str">
        <f t="shared" si="98"/>
        <v>Dyneema32mm</v>
      </c>
      <c r="AJ343" t="s">
        <v>113</v>
      </c>
      <c r="AK343" s="19" t="s">
        <v>365</v>
      </c>
      <c r="AL343" s="316" t="s">
        <v>412</v>
      </c>
      <c r="AM343"/>
      <c r="AY343" s="64" t="str">
        <f t="shared" si="95"/>
        <v>7x19RVS (AISI316)10</v>
      </c>
      <c r="AZ343" t="str">
        <f t="shared" si="97"/>
        <v>7x19RVS (AISI316)</v>
      </c>
      <c r="BA343" s="19">
        <v>10</v>
      </c>
      <c r="BB343" s="355">
        <v>52.1</v>
      </c>
      <c r="BC343" s="19"/>
    </row>
    <row r="344" spans="29:55" x14ac:dyDescent="0.25">
      <c r="AC344" s="64" t="str">
        <f t="shared" si="94"/>
        <v>7x19RVS (AISI316)11</v>
      </c>
      <c r="AD344" t="str">
        <f t="shared" si="96"/>
        <v>7x19RVS (AISI316)</v>
      </c>
      <c r="AE344" s="19">
        <v>11</v>
      </c>
      <c r="AF344" s="356" t="s">
        <v>412</v>
      </c>
      <c r="AI344" s="64" t="str">
        <f t="shared" si="98"/>
        <v>Dyneema36mm</v>
      </c>
      <c r="AJ344" t="s">
        <v>113</v>
      </c>
      <c r="AK344" s="19" t="s">
        <v>366</v>
      </c>
      <c r="AL344" s="316" t="s">
        <v>412</v>
      </c>
      <c r="AM344"/>
      <c r="AY344" s="64" t="str">
        <f t="shared" si="95"/>
        <v>7x19RVS (AISI316)11</v>
      </c>
      <c r="AZ344" t="str">
        <f t="shared" si="97"/>
        <v>7x19RVS (AISI316)</v>
      </c>
      <c r="BA344" s="19">
        <v>11</v>
      </c>
      <c r="BB344" s="356" t="s">
        <v>412</v>
      </c>
      <c r="BC344" s="19"/>
    </row>
    <row r="345" spans="29:55" x14ac:dyDescent="0.25">
      <c r="AC345" s="64" t="str">
        <f t="shared" si="94"/>
        <v>7x19RVS (AISI316)12</v>
      </c>
      <c r="AD345" t="str">
        <f t="shared" si="96"/>
        <v>7x19RVS (AISI316)</v>
      </c>
      <c r="AE345" s="19">
        <v>12</v>
      </c>
      <c r="AF345" s="355">
        <v>75.099999999999994</v>
      </c>
      <c r="AI345" s="64" t="str">
        <f t="shared" ref="AI345" si="99">+AJ345&amp;AK345</f>
        <v>Dyneema38mm</v>
      </c>
      <c r="AJ345" t="s">
        <v>113</v>
      </c>
      <c r="AK345" s="19" t="s">
        <v>885</v>
      </c>
      <c r="AL345" s="316" t="s">
        <v>412</v>
      </c>
      <c r="AM345"/>
      <c r="AY345" s="64" t="str">
        <f t="shared" si="95"/>
        <v>7x19RVS (AISI316)12</v>
      </c>
      <c r="AZ345" t="str">
        <f t="shared" si="97"/>
        <v>7x19RVS (AISI316)</v>
      </c>
      <c r="BA345" s="19">
        <v>12</v>
      </c>
      <c r="BB345" s="355">
        <v>75.099999999999994</v>
      </c>
      <c r="BC345" s="19"/>
    </row>
    <row r="346" spans="29:55" x14ac:dyDescent="0.25">
      <c r="AC346" s="64" t="str">
        <f t="shared" si="94"/>
        <v>7x19RVS (AISI316)13</v>
      </c>
      <c r="AD346" t="str">
        <f t="shared" si="96"/>
        <v>7x19RVS (AISI316)</v>
      </c>
      <c r="AE346" s="19">
        <v>13</v>
      </c>
      <c r="AF346" s="356" t="s">
        <v>412</v>
      </c>
      <c r="AI346" s="64" t="str">
        <f t="shared" ref="AI346:AI377" si="100">+AJ346&amp;AK346</f>
        <v>Dyneema44mm</v>
      </c>
      <c r="AJ346" t="s">
        <v>113</v>
      </c>
      <c r="AK346" s="19" t="s">
        <v>367</v>
      </c>
      <c r="AL346" s="316" t="s">
        <v>412</v>
      </c>
      <c r="AM346"/>
      <c r="AY346" s="64" t="str">
        <f t="shared" si="95"/>
        <v>7x19RVS (AISI316)13</v>
      </c>
      <c r="AZ346" t="str">
        <f t="shared" si="97"/>
        <v>7x19RVS (AISI316)</v>
      </c>
      <c r="BA346" s="19">
        <v>13</v>
      </c>
      <c r="BB346" s="356" t="s">
        <v>412</v>
      </c>
      <c r="BC346" s="19"/>
    </row>
    <row r="347" spans="29:55" x14ac:dyDescent="0.25">
      <c r="AC347" s="64" t="str">
        <f t="shared" si="94"/>
        <v>7x19RVS (AISI316)14</v>
      </c>
      <c r="AD347" t="str">
        <f t="shared" si="96"/>
        <v>7x19RVS (AISI316)</v>
      </c>
      <c r="AE347" s="19">
        <v>14</v>
      </c>
      <c r="AF347" s="355">
        <v>102</v>
      </c>
      <c r="AI347" s="64" t="str">
        <f t="shared" si="100"/>
        <v>Dyneema48mm</v>
      </c>
      <c r="AJ347" t="s">
        <v>113</v>
      </c>
      <c r="AK347" s="19" t="s">
        <v>368</v>
      </c>
      <c r="AL347" s="316" t="s">
        <v>412</v>
      </c>
      <c r="AM347"/>
      <c r="AY347" s="64" t="str">
        <f t="shared" si="95"/>
        <v>7x19RVS (AISI316)14</v>
      </c>
      <c r="AZ347" t="str">
        <f t="shared" si="97"/>
        <v>7x19RVS (AISI316)</v>
      </c>
      <c r="BA347" s="19">
        <v>14</v>
      </c>
      <c r="BB347" s="355">
        <v>102</v>
      </c>
      <c r="BC347" s="19"/>
    </row>
    <row r="348" spans="29:55" x14ac:dyDescent="0.25">
      <c r="AC348" s="64" t="str">
        <f t="shared" si="94"/>
        <v>7x19RVS (AISI316)15</v>
      </c>
      <c r="AD348" t="str">
        <f t="shared" si="96"/>
        <v>7x19RVS (AISI316)</v>
      </c>
      <c r="AE348" s="19">
        <v>15</v>
      </c>
      <c r="AF348" s="356" t="s">
        <v>412</v>
      </c>
      <c r="AI348" s="64" t="str">
        <f t="shared" si="100"/>
        <v>Dyneema50mm</v>
      </c>
      <c r="AJ348" t="s">
        <v>113</v>
      </c>
      <c r="AK348" s="19" t="s">
        <v>886</v>
      </c>
      <c r="AL348" s="316" t="s">
        <v>412</v>
      </c>
      <c r="AM348" s="19"/>
      <c r="AY348" s="64" t="str">
        <f t="shared" si="95"/>
        <v>7x19RVS (AISI316)15</v>
      </c>
      <c r="AZ348" t="str">
        <f t="shared" si="97"/>
        <v>7x19RVS (AISI316)</v>
      </c>
      <c r="BA348" s="19">
        <v>15</v>
      </c>
      <c r="BB348" s="356" t="s">
        <v>412</v>
      </c>
      <c r="BC348" s="19"/>
    </row>
    <row r="349" spans="29:55" x14ac:dyDescent="0.25">
      <c r="AC349" s="64" t="str">
        <f t="shared" si="94"/>
        <v>7x19RVS (AISI316)16</v>
      </c>
      <c r="AD349" t="str">
        <f t="shared" si="96"/>
        <v>7x19RVS (AISI316)</v>
      </c>
      <c r="AE349" s="19">
        <v>16</v>
      </c>
      <c r="AF349" s="355">
        <v>133</v>
      </c>
      <c r="AI349" s="64" t="str">
        <f t="shared" si="100"/>
        <v>Dyneema52mm</v>
      </c>
      <c r="AJ349" t="s">
        <v>113</v>
      </c>
      <c r="AK349" s="19" t="s">
        <v>369</v>
      </c>
      <c r="AL349" s="316" t="s">
        <v>412</v>
      </c>
      <c r="AM349" s="19"/>
      <c r="AN349" s="439"/>
      <c r="AY349" s="64" t="str">
        <f t="shared" si="95"/>
        <v>7x19RVS (AISI316)16</v>
      </c>
      <c r="AZ349" t="str">
        <f t="shared" si="97"/>
        <v>7x19RVS (AISI316)</v>
      </c>
      <c r="BA349" s="19">
        <v>16</v>
      </c>
      <c r="BB349" s="355">
        <v>133</v>
      </c>
      <c r="BC349" s="19"/>
    </row>
    <row r="350" spans="29:55" x14ac:dyDescent="0.25">
      <c r="AC350" s="64" t="str">
        <f t="shared" si="94"/>
        <v>7x19RVS (AISI316)17</v>
      </c>
      <c r="AD350" t="str">
        <f t="shared" si="96"/>
        <v>7x19RVS (AISI316)</v>
      </c>
      <c r="AE350" s="19">
        <v>17</v>
      </c>
      <c r="AF350" s="356" t="s">
        <v>412</v>
      </c>
      <c r="AI350" s="64" t="str">
        <f t="shared" si="100"/>
        <v>Dyneema1/4"</v>
      </c>
      <c r="AJ350" t="s">
        <v>113</v>
      </c>
      <c r="AK350" s="309" t="s">
        <v>346</v>
      </c>
      <c r="AL350" s="316" t="s">
        <v>412</v>
      </c>
      <c r="AM350" s="19"/>
      <c r="AY350" s="64" t="str">
        <f t="shared" si="95"/>
        <v>7x19RVS (AISI316)17</v>
      </c>
      <c r="AZ350" t="str">
        <f t="shared" si="97"/>
        <v>7x19RVS (AISI316)</v>
      </c>
      <c r="BA350" s="19">
        <v>17</v>
      </c>
      <c r="BB350" s="356" t="s">
        <v>412</v>
      </c>
      <c r="BC350" s="19"/>
    </row>
    <row r="351" spans="29:55" x14ac:dyDescent="0.25">
      <c r="AC351" s="64" t="str">
        <f t="shared" si="94"/>
        <v>7x19RVS (AISI316)18</v>
      </c>
      <c r="AD351" t="str">
        <f t="shared" si="96"/>
        <v>7x19RVS (AISI316)</v>
      </c>
      <c r="AE351" s="19">
        <v>18</v>
      </c>
      <c r="AF351" s="355" t="s">
        <v>412</v>
      </c>
      <c r="AI351" s="64" t="str">
        <f t="shared" si="100"/>
        <v>Dyneema5/16"</v>
      </c>
      <c r="AJ351" t="s">
        <v>113</v>
      </c>
      <c r="AK351" s="309" t="s">
        <v>347</v>
      </c>
      <c r="AL351" s="316" t="s">
        <v>412</v>
      </c>
      <c r="AM351" s="19"/>
      <c r="AN351" s="439"/>
      <c r="AY351" s="64" t="str">
        <f t="shared" si="95"/>
        <v>7x19RVS (AISI316)18</v>
      </c>
      <c r="AZ351" t="str">
        <f t="shared" si="97"/>
        <v>7x19RVS (AISI316)</v>
      </c>
      <c r="BA351" s="19">
        <v>18</v>
      </c>
      <c r="BB351" s="355" t="s">
        <v>412</v>
      </c>
      <c r="BC351" s="19"/>
    </row>
    <row r="352" spans="29:55" x14ac:dyDescent="0.25">
      <c r="AC352" s="64" t="str">
        <f t="shared" si="94"/>
        <v>7x19RVS (AISI316)19</v>
      </c>
      <c r="AD352" t="str">
        <f t="shared" si="96"/>
        <v>7x19RVS (AISI316)</v>
      </c>
      <c r="AE352" s="19">
        <v>19</v>
      </c>
      <c r="AF352" s="356" t="s">
        <v>412</v>
      </c>
      <c r="AI352" s="64" t="str">
        <f t="shared" si="100"/>
        <v>Dyneema3/8"</v>
      </c>
      <c r="AJ352" t="s">
        <v>113</v>
      </c>
      <c r="AK352" s="310" t="s">
        <v>348</v>
      </c>
      <c r="AL352" s="316" t="s">
        <v>412</v>
      </c>
      <c r="AM352" s="19"/>
      <c r="AY352" s="64" t="str">
        <f t="shared" si="95"/>
        <v>7x19RVS (AISI316)19</v>
      </c>
      <c r="AZ352" t="str">
        <f t="shared" si="97"/>
        <v>7x19RVS (AISI316)</v>
      </c>
      <c r="BA352" s="19">
        <v>19</v>
      </c>
      <c r="BB352" s="356" t="s">
        <v>412</v>
      </c>
      <c r="BC352" s="19"/>
    </row>
    <row r="353" spans="29:55" x14ac:dyDescent="0.25">
      <c r="AC353" s="64" t="str">
        <f t="shared" si="94"/>
        <v>7x19RVS (AISI316)20</v>
      </c>
      <c r="AD353" t="str">
        <f t="shared" si="96"/>
        <v>7x19RVS (AISI316)</v>
      </c>
      <c r="AE353" s="19">
        <v>20</v>
      </c>
      <c r="AF353" s="355" t="s">
        <v>412</v>
      </c>
      <c r="AI353" s="64" t="str">
        <f t="shared" si="100"/>
        <v>Dyneema7/16"</v>
      </c>
      <c r="AJ353" t="s">
        <v>113</v>
      </c>
      <c r="AK353" s="310" t="s">
        <v>349</v>
      </c>
      <c r="AL353" s="316" t="s">
        <v>412</v>
      </c>
      <c r="AM353" s="19"/>
      <c r="AN353" s="439"/>
      <c r="AY353" s="64" t="str">
        <f t="shared" si="95"/>
        <v>7x19RVS (AISI316)20</v>
      </c>
      <c r="AZ353" t="str">
        <f t="shared" si="97"/>
        <v>7x19RVS (AISI316)</v>
      </c>
      <c r="BA353" s="19">
        <v>20</v>
      </c>
      <c r="BB353" s="355" t="s">
        <v>412</v>
      </c>
      <c r="BC353" s="19"/>
    </row>
    <row r="354" spans="29:55" x14ac:dyDescent="0.25">
      <c r="AC354" s="64" t="str">
        <f t="shared" ref="AC354:AC359" si="101">AD354&amp;AE354</f>
        <v>7x19RVS (AISI316)22</v>
      </c>
      <c r="AD354" t="str">
        <f>$AD$336</f>
        <v>7x19RVS (AISI316)</v>
      </c>
      <c r="AE354" s="19">
        <v>22</v>
      </c>
      <c r="AF354" s="356" t="s">
        <v>412</v>
      </c>
      <c r="AI354" s="64" t="str">
        <f t="shared" si="100"/>
        <v>Dyneema1/2"</v>
      </c>
      <c r="AJ354" t="s">
        <v>113</v>
      </c>
      <c r="AK354" s="310" t="s">
        <v>350</v>
      </c>
      <c r="AL354" s="316" t="s">
        <v>412</v>
      </c>
      <c r="AM354" s="19"/>
      <c r="AY354" s="64" t="str">
        <f t="shared" si="95"/>
        <v>7x19RVS (AISI316)22</v>
      </c>
      <c r="AZ354" t="str">
        <f>$AD$336</f>
        <v>7x19RVS (AISI316)</v>
      </c>
      <c r="BA354" s="19">
        <v>22</v>
      </c>
      <c r="BB354" s="356" t="s">
        <v>412</v>
      </c>
      <c r="BC354" s="19"/>
    </row>
    <row r="355" spans="29:55" x14ac:dyDescent="0.25">
      <c r="AC355" s="64" t="str">
        <f t="shared" si="101"/>
        <v>7x19RVS (AISI316)24</v>
      </c>
      <c r="AD355" t="str">
        <f>$AD$336</f>
        <v>7x19RVS (AISI316)</v>
      </c>
      <c r="AE355" s="19">
        <v>24</v>
      </c>
      <c r="AF355" s="356" t="s">
        <v>412</v>
      </c>
      <c r="AI355" s="64" t="str">
        <f t="shared" si="100"/>
        <v>Dyneema5/8"</v>
      </c>
      <c r="AJ355" t="s">
        <v>113</v>
      </c>
      <c r="AK355" s="310" t="s">
        <v>351</v>
      </c>
      <c r="AL355" s="316" t="s">
        <v>412</v>
      </c>
      <c r="AM355" s="19"/>
      <c r="AN355" s="439"/>
      <c r="AY355" s="64" t="str">
        <f t="shared" si="95"/>
        <v>7x19RVS (AISI316)24</v>
      </c>
      <c r="AZ355" t="str">
        <f>$AD$336</f>
        <v>7x19RVS (AISI316)</v>
      </c>
      <c r="BA355" s="19">
        <v>24</v>
      </c>
      <c r="BB355" s="356" t="s">
        <v>412</v>
      </c>
      <c r="BC355" s="19"/>
    </row>
    <row r="356" spans="29:55" x14ac:dyDescent="0.25">
      <c r="AC356" s="64" t="str">
        <f t="shared" si="101"/>
        <v>7x19RVS (AISI316)26</v>
      </c>
      <c r="AD356" t="str">
        <f>$AD$336</f>
        <v>7x19RVS (AISI316)</v>
      </c>
      <c r="AE356" s="19">
        <v>26</v>
      </c>
      <c r="AF356" s="356" t="s">
        <v>412</v>
      </c>
      <c r="AI356" s="64" t="str">
        <f t="shared" si="100"/>
        <v>Dyneema3/4"</v>
      </c>
      <c r="AJ356" t="s">
        <v>113</v>
      </c>
      <c r="AK356" s="310" t="s">
        <v>352</v>
      </c>
      <c r="AL356" s="316" t="s">
        <v>412</v>
      </c>
      <c r="AM356" s="19"/>
      <c r="AY356" s="64" t="str">
        <f t="shared" si="95"/>
        <v>7x19RVS (AISI316)26</v>
      </c>
      <c r="AZ356" t="str">
        <f>$AD$336</f>
        <v>7x19RVS (AISI316)</v>
      </c>
      <c r="BA356" s="19">
        <v>26</v>
      </c>
      <c r="BB356" s="356" t="s">
        <v>412</v>
      </c>
      <c r="BC356" s="19"/>
    </row>
    <row r="357" spans="29:55" x14ac:dyDescent="0.25">
      <c r="AC357" s="64" t="str">
        <f t="shared" si="101"/>
        <v>7x19RVS (AISI316)28</v>
      </c>
      <c r="AD357" t="str">
        <f>$AD$336</f>
        <v>7x19RVS (AISI316)</v>
      </c>
      <c r="AE357" s="19">
        <v>28</v>
      </c>
      <c r="AF357" s="356" t="s">
        <v>412</v>
      </c>
      <c r="AI357" s="64" t="str">
        <f t="shared" si="100"/>
        <v>Dyneema7/8"</v>
      </c>
      <c r="AJ357" t="s">
        <v>113</v>
      </c>
      <c r="AK357" s="310" t="s">
        <v>353</v>
      </c>
      <c r="AL357" s="316" t="s">
        <v>412</v>
      </c>
      <c r="AM357" s="19"/>
      <c r="AN357" s="439"/>
      <c r="AY357" s="64" t="str">
        <f t="shared" si="95"/>
        <v>7x19RVS (AISI316)28</v>
      </c>
      <c r="AZ357" t="str">
        <f>$AD$336</f>
        <v>7x19RVS (AISI316)</v>
      </c>
      <c r="BA357" s="19">
        <v>28</v>
      </c>
      <c r="BB357" s="356" t="s">
        <v>412</v>
      </c>
      <c r="BC357" s="19"/>
    </row>
    <row r="358" spans="29:55" x14ac:dyDescent="0.25">
      <c r="AC358" s="64" t="str">
        <f t="shared" si="101"/>
        <v>7x19RVS (AISI316)30</v>
      </c>
      <c r="AD358" t="str">
        <f>$AD$336</f>
        <v>7x19RVS (AISI316)</v>
      </c>
      <c r="AE358" s="379">
        <v>30</v>
      </c>
      <c r="AF358" s="356" t="s">
        <v>412</v>
      </c>
      <c r="AI358" s="64" t="str">
        <f t="shared" si="100"/>
        <v>Dyneema1"</v>
      </c>
      <c r="AJ358" t="s">
        <v>113</v>
      </c>
      <c r="AK358" s="310" t="s">
        <v>354</v>
      </c>
      <c r="AL358" s="316" t="s">
        <v>412</v>
      </c>
      <c r="AM358" s="19"/>
      <c r="AY358" s="64" t="str">
        <f t="shared" si="95"/>
        <v>7x19RVS (AISI316)30</v>
      </c>
      <c r="AZ358" t="str">
        <f>$AD$336</f>
        <v>7x19RVS (AISI316)</v>
      </c>
      <c r="BA358" s="379">
        <v>30</v>
      </c>
      <c r="BB358" s="356" t="s">
        <v>412</v>
      </c>
      <c r="BC358" s="19"/>
    </row>
    <row r="359" spans="29:55" x14ac:dyDescent="0.25">
      <c r="AC359" s="373" t="str">
        <f t="shared" si="101"/>
        <v>1x19RVS (AISI316)3</v>
      </c>
      <c r="AD359" s="374" t="str">
        <f>AD9&amp;AC6</f>
        <v>1x19RVS (AISI316)</v>
      </c>
      <c r="AE359" s="63">
        <v>3</v>
      </c>
      <c r="AF359" s="375">
        <v>7.42</v>
      </c>
      <c r="AI359" s="64" t="str">
        <f t="shared" si="100"/>
        <v>Dyneema1 1/8"</v>
      </c>
      <c r="AJ359" t="s">
        <v>113</v>
      </c>
      <c r="AK359" s="310" t="s">
        <v>355</v>
      </c>
      <c r="AL359" s="316" t="s">
        <v>412</v>
      </c>
      <c r="AM359" s="19"/>
      <c r="AN359" s="439"/>
      <c r="AY359" s="373" t="str">
        <f t="shared" si="95"/>
        <v>1x19RVS (AISI316)3</v>
      </c>
      <c r="AZ359" s="374" t="str">
        <f>AZ8&amp;AY6</f>
        <v>1x19RVS (AISI316)</v>
      </c>
      <c r="BA359" s="63">
        <v>3</v>
      </c>
      <c r="BB359" s="375">
        <v>7.42</v>
      </c>
      <c r="BC359" s="63"/>
    </row>
    <row r="360" spans="29:55" x14ac:dyDescent="0.25">
      <c r="AC360" s="64" t="str">
        <f t="shared" ref="AC360:AC376" si="102">AD360&amp;AE360</f>
        <v>1x19RVS (AISI316)4</v>
      </c>
      <c r="AD360" t="str">
        <f t="shared" ref="AD360:AD376" si="103">$AD$359</f>
        <v>1x19RVS (AISI316)</v>
      </c>
      <c r="AE360" s="19">
        <v>4</v>
      </c>
      <c r="AF360" s="356">
        <v>13.2</v>
      </c>
      <c r="AI360" s="64" t="str">
        <f t="shared" si="100"/>
        <v>Dyneema1 1/4"</v>
      </c>
      <c r="AJ360" t="s">
        <v>113</v>
      </c>
      <c r="AK360" s="310" t="s">
        <v>356</v>
      </c>
      <c r="AL360" s="316" t="s">
        <v>412</v>
      </c>
      <c r="AM360" s="19"/>
      <c r="AY360" s="64" t="str">
        <f t="shared" si="95"/>
        <v>1x19RVS (AISI316)4</v>
      </c>
      <c r="AZ360" t="str">
        <f t="shared" ref="AZ360:AZ376" si="104">$AD$359</f>
        <v>1x19RVS (AISI316)</v>
      </c>
      <c r="BA360" s="19">
        <v>4</v>
      </c>
      <c r="BB360" s="356">
        <v>13.2</v>
      </c>
      <c r="BC360" s="19"/>
    </row>
    <row r="361" spans="29:55" x14ac:dyDescent="0.25">
      <c r="AC361" s="64" t="str">
        <f t="shared" si="102"/>
        <v>1x19RVS (AISI316)5</v>
      </c>
      <c r="AD361" t="str">
        <f t="shared" si="103"/>
        <v>1x19RVS (AISI316)</v>
      </c>
      <c r="AE361" s="19">
        <v>5</v>
      </c>
      <c r="AF361" s="356">
        <v>20.6</v>
      </c>
      <c r="AI361" s="64" t="str">
        <f t="shared" si="100"/>
        <v>Dyneema1 1/2"</v>
      </c>
      <c r="AJ361" t="s">
        <v>113</v>
      </c>
      <c r="AK361" s="310" t="s">
        <v>357</v>
      </c>
      <c r="AL361" s="316" t="s">
        <v>412</v>
      </c>
      <c r="AM361" s="19"/>
      <c r="AN361" s="439"/>
      <c r="AY361" s="64" t="str">
        <f t="shared" si="95"/>
        <v>1x19RVS (AISI316)5</v>
      </c>
      <c r="AZ361" t="str">
        <f t="shared" si="104"/>
        <v>1x19RVS (AISI316)</v>
      </c>
      <c r="BA361" s="19">
        <v>5</v>
      </c>
      <c r="BB361" s="356">
        <v>20.6</v>
      </c>
      <c r="BC361" s="19"/>
    </row>
    <row r="362" spans="29:55" x14ac:dyDescent="0.25">
      <c r="AC362" s="64" t="str">
        <f t="shared" si="102"/>
        <v>1x19RVS (AISI316)6</v>
      </c>
      <c r="AD362" t="str">
        <f t="shared" si="103"/>
        <v>1x19RVS (AISI316)</v>
      </c>
      <c r="AE362" s="19">
        <v>6</v>
      </c>
      <c r="AF362" s="356">
        <v>29.7</v>
      </c>
      <c r="AI362" s="64" t="str">
        <f t="shared" si="100"/>
        <v>Dyneema1 3/4"</v>
      </c>
      <c r="AJ362" t="s">
        <v>113</v>
      </c>
      <c r="AK362" s="310" t="s">
        <v>358</v>
      </c>
      <c r="AL362" s="316" t="s">
        <v>412</v>
      </c>
      <c r="AM362" s="19"/>
      <c r="AY362" s="64" t="str">
        <f t="shared" si="95"/>
        <v>1x19RVS (AISI316)6</v>
      </c>
      <c r="AZ362" t="str">
        <f t="shared" si="104"/>
        <v>1x19RVS (AISI316)</v>
      </c>
      <c r="BA362" s="19">
        <v>6</v>
      </c>
      <c r="BB362" s="356">
        <v>29.7</v>
      </c>
      <c r="BC362" s="19"/>
    </row>
    <row r="363" spans="29:55" x14ac:dyDescent="0.25">
      <c r="AC363" s="64" t="str">
        <f t="shared" si="102"/>
        <v>1x19RVS (AISI316)7</v>
      </c>
      <c r="AD363" t="str">
        <f t="shared" si="103"/>
        <v>1x19RVS (AISI316)</v>
      </c>
      <c r="AE363" s="19">
        <v>7</v>
      </c>
      <c r="AF363" s="356">
        <v>37.799999999999997</v>
      </c>
      <c r="AI363" s="65" t="str">
        <f t="shared" si="100"/>
        <v>Dyneema2"</v>
      </c>
      <c r="AJ363" s="67" t="s">
        <v>113</v>
      </c>
      <c r="AK363" s="311" t="s">
        <v>359</v>
      </c>
      <c r="AL363" s="318" t="s">
        <v>412</v>
      </c>
      <c r="AM363" s="19"/>
      <c r="AN363" s="439"/>
      <c r="AY363" s="64" t="str">
        <f t="shared" si="95"/>
        <v>1x19RVS (AISI316)7</v>
      </c>
      <c r="AZ363" t="str">
        <f t="shared" si="104"/>
        <v>1x19RVS (AISI316)</v>
      </c>
      <c r="BA363" s="19">
        <v>7</v>
      </c>
      <c r="BB363" s="356">
        <v>37.799999999999997</v>
      </c>
      <c r="BC363" s="19"/>
    </row>
    <row r="364" spans="29:55" x14ac:dyDescent="0.25">
      <c r="AC364" s="64" t="str">
        <f t="shared" si="102"/>
        <v>1x19RVS (AISI316)8</v>
      </c>
      <c r="AD364" t="str">
        <f t="shared" si="103"/>
        <v>1x19RVS (AISI316)</v>
      </c>
      <c r="AE364" s="19">
        <v>8</v>
      </c>
      <c r="AF364" s="355">
        <v>49.4</v>
      </c>
      <c r="AI364" s="64" t="str">
        <f t="shared" si="100"/>
        <v>Hempex3mm</v>
      </c>
      <c r="AJ364" t="s">
        <v>679</v>
      </c>
      <c r="AK364" s="63" t="s">
        <v>630</v>
      </c>
      <c r="AL364" s="316" t="s">
        <v>412</v>
      </c>
      <c r="AM364" s="19"/>
      <c r="AY364" s="64" t="str">
        <f t="shared" si="95"/>
        <v>1x19RVS (AISI316)8</v>
      </c>
      <c r="AZ364" t="str">
        <f t="shared" si="104"/>
        <v>1x19RVS (AISI316)</v>
      </c>
      <c r="BA364" s="19">
        <v>8</v>
      </c>
      <c r="BB364" s="355">
        <v>49.4</v>
      </c>
      <c r="BC364" s="19"/>
    </row>
    <row r="365" spans="29:55" x14ac:dyDescent="0.25">
      <c r="AC365" s="64" t="str">
        <f t="shared" si="102"/>
        <v>1x19RVS (AISI316)9</v>
      </c>
      <c r="AD365" t="str">
        <f t="shared" si="103"/>
        <v>1x19RVS (AISI316)</v>
      </c>
      <c r="AE365" s="19">
        <v>9</v>
      </c>
      <c r="AF365" s="356">
        <v>62.5</v>
      </c>
      <c r="AI365" s="64" t="str">
        <f t="shared" si="100"/>
        <v>Hempex4mm</v>
      </c>
      <c r="AJ365" t="s">
        <v>679</v>
      </c>
      <c r="AK365" s="19" t="s">
        <v>609</v>
      </c>
      <c r="AL365" s="328">
        <f>0.233*9.81</f>
        <v>2.28573</v>
      </c>
      <c r="AM365" s="19"/>
      <c r="AY365" s="64" t="str">
        <f t="shared" si="95"/>
        <v>1x19RVS (AISI316)9</v>
      </c>
      <c r="AZ365" t="str">
        <f t="shared" si="104"/>
        <v>1x19RVS (AISI316)</v>
      </c>
      <c r="BA365" s="19">
        <v>9</v>
      </c>
      <c r="BB365" s="356">
        <v>62.5</v>
      </c>
      <c r="BC365" s="19"/>
    </row>
    <row r="366" spans="29:55" x14ac:dyDescent="0.25">
      <c r="AC366" s="64" t="str">
        <f t="shared" si="102"/>
        <v>1x19RVS (AISI316)10</v>
      </c>
      <c r="AD366" t="str">
        <f t="shared" si="103"/>
        <v>1x19RVS (AISI316)</v>
      </c>
      <c r="AE366" s="19">
        <v>10</v>
      </c>
      <c r="AF366" s="355">
        <v>77.2</v>
      </c>
      <c r="AI366" s="64" t="str">
        <f t="shared" si="100"/>
        <v>Hempex5mm</v>
      </c>
      <c r="AJ366" t="s">
        <v>679</v>
      </c>
      <c r="AK366" s="19" t="s">
        <v>631</v>
      </c>
      <c r="AL366" s="328" t="s">
        <v>412</v>
      </c>
      <c r="AM366" s="19"/>
      <c r="AY366" s="64" t="str">
        <f t="shared" si="95"/>
        <v>1x19RVS (AISI316)10</v>
      </c>
      <c r="AZ366" t="str">
        <f t="shared" si="104"/>
        <v>1x19RVS (AISI316)</v>
      </c>
      <c r="BA366" s="19">
        <v>10</v>
      </c>
      <c r="BB366" s="355">
        <v>77.2</v>
      </c>
      <c r="BC366" s="19"/>
    </row>
    <row r="367" spans="29:55" x14ac:dyDescent="0.25">
      <c r="AC367" s="64" t="str">
        <f t="shared" si="102"/>
        <v>1x19RVS (AISI316)11</v>
      </c>
      <c r="AD367" t="str">
        <f t="shared" si="103"/>
        <v>1x19RVS (AISI316)</v>
      </c>
      <c r="AE367" s="19">
        <v>11</v>
      </c>
      <c r="AF367" s="356" t="s">
        <v>412</v>
      </c>
      <c r="AI367" s="64" t="str">
        <f t="shared" si="100"/>
        <v>Hempex6mm</v>
      </c>
      <c r="AJ367" t="s">
        <v>679</v>
      </c>
      <c r="AK367" s="19" t="s">
        <v>608</v>
      </c>
      <c r="AL367" s="328">
        <f>0.519*9.81</f>
        <v>5.0913900000000005</v>
      </c>
      <c r="AM367" s="19"/>
      <c r="AY367" s="64" t="str">
        <f t="shared" si="95"/>
        <v>1x19RVS (AISI316)11</v>
      </c>
      <c r="AZ367" t="str">
        <f t="shared" si="104"/>
        <v>1x19RVS (AISI316)</v>
      </c>
      <c r="BA367" s="19">
        <v>11</v>
      </c>
      <c r="BB367" s="356" t="s">
        <v>412</v>
      </c>
      <c r="BC367" s="19"/>
    </row>
    <row r="368" spans="29:55" x14ac:dyDescent="0.25">
      <c r="AC368" s="64" t="str">
        <f t="shared" si="102"/>
        <v>1x19RVS (AISI316)12</v>
      </c>
      <c r="AD368" t="str">
        <f t="shared" si="103"/>
        <v>1x19RVS (AISI316)</v>
      </c>
      <c r="AE368" s="19">
        <v>12</v>
      </c>
      <c r="AF368" s="355">
        <v>104</v>
      </c>
      <c r="AI368" s="64" t="str">
        <f t="shared" si="100"/>
        <v>Hempex8mm</v>
      </c>
      <c r="AJ368" t="s">
        <v>679</v>
      </c>
      <c r="AK368" s="19" t="s">
        <v>607</v>
      </c>
      <c r="AL368" s="328">
        <f>0.965*9.81</f>
        <v>9.4666499999999996</v>
      </c>
      <c r="AM368" s="19"/>
      <c r="AY368" s="64" t="str">
        <f t="shared" si="95"/>
        <v>1x19RVS (AISI316)12</v>
      </c>
      <c r="AZ368" t="str">
        <f t="shared" si="104"/>
        <v>1x19RVS (AISI316)</v>
      </c>
      <c r="BA368" s="19">
        <v>12</v>
      </c>
      <c r="BB368" s="355">
        <v>104</v>
      </c>
      <c r="BC368" s="19"/>
    </row>
    <row r="369" spans="29:57" x14ac:dyDescent="0.25">
      <c r="AC369" s="64" t="str">
        <f t="shared" si="102"/>
        <v>1x19RVS (AISI316)13</v>
      </c>
      <c r="AD369" t="str">
        <f t="shared" si="103"/>
        <v>1x19RVS (AISI316)</v>
      </c>
      <c r="AE369" s="19">
        <v>13</v>
      </c>
      <c r="AF369" s="356" t="s">
        <v>412</v>
      </c>
      <c r="AI369" s="64" t="str">
        <f t="shared" si="100"/>
        <v>Hempex10mm</v>
      </c>
      <c r="AJ369" t="s">
        <v>679</v>
      </c>
      <c r="AK369" s="19" t="s">
        <v>606</v>
      </c>
      <c r="AL369" s="328">
        <f>1.418*9.81</f>
        <v>13.91058</v>
      </c>
      <c r="AM369" s="19"/>
      <c r="AY369" s="64" t="str">
        <f t="shared" si="95"/>
        <v>1x19RVS (AISI316)13</v>
      </c>
      <c r="AZ369" t="str">
        <f t="shared" si="104"/>
        <v>1x19RVS (AISI316)</v>
      </c>
      <c r="BA369" s="19">
        <v>13</v>
      </c>
      <c r="BB369" s="356" t="s">
        <v>412</v>
      </c>
      <c r="BC369" s="19"/>
    </row>
    <row r="370" spans="29:57" x14ac:dyDescent="0.25">
      <c r="AC370" s="64" t="str">
        <f t="shared" si="102"/>
        <v>1x19RVS (AISI316)14</v>
      </c>
      <c r="AD370" t="str">
        <f t="shared" si="103"/>
        <v>1x19RVS (AISI316)</v>
      </c>
      <c r="AE370" s="19">
        <v>14</v>
      </c>
      <c r="AF370" s="355">
        <v>131</v>
      </c>
      <c r="AI370" s="64" t="str">
        <f t="shared" si="100"/>
        <v>Hempex12mm</v>
      </c>
      <c r="AJ370" t="s">
        <v>679</v>
      </c>
      <c r="AK370" s="19" t="s">
        <v>605</v>
      </c>
      <c r="AL370" s="328">
        <f>1.953*9.81</f>
        <v>19.158930000000002</v>
      </c>
      <c r="AM370"/>
      <c r="AY370" s="64" t="str">
        <f t="shared" si="95"/>
        <v>1x19RVS (AISI316)14</v>
      </c>
      <c r="AZ370" t="str">
        <f t="shared" si="104"/>
        <v>1x19RVS (AISI316)</v>
      </c>
      <c r="BA370" s="19">
        <v>14</v>
      </c>
      <c r="BB370" s="355">
        <v>131</v>
      </c>
      <c r="BC370" s="19"/>
    </row>
    <row r="371" spans="29:57" x14ac:dyDescent="0.25">
      <c r="AC371" s="64" t="str">
        <f t="shared" si="102"/>
        <v>1x19RVS (AISI316)15</v>
      </c>
      <c r="AD371" t="str">
        <f t="shared" si="103"/>
        <v>1x19RVS (AISI316)</v>
      </c>
      <c r="AE371" s="19">
        <v>15</v>
      </c>
      <c r="AF371" s="356" t="s">
        <v>412</v>
      </c>
      <c r="AI371" s="64" t="str">
        <f t="shared" si="100"/>
        <v>Hempex14mm</v>
      </c>
      <c r="AJ371" t="s">
        <v>679</v>
      </c>
      <c r="AK371" s="19" t="s">
        <v>604</v>
      </c>
      <c r="AL371" s="328">
        <f>2.541*9.81</f>
        <v>24.927209999999999</v>
      </c>
      <c r="AM371"/>
      <c r="AY371" s="64" t="str">
        <f t="shared" si="95"/>
        <v>1x19RVS (AISI316)15</v>
      </c>
      <c r="AZ371" t="str">
        <f t="shared" si="104"/>
        <v>1x19RVS (AISI316)</v>
      </c>
      <c r="BA371" s="19">
        <v>15</v>
      </c>
      <c r="BB371" s="356" t="s">
        <v>412</v>
      </c>
      <c r="BC371" s="19"/>
    </row>
    <row r="372" spans="29:57" x14ac:dyDescent="0.25">
      <c r="AC372" s="64" t="str">
        <f t="shared" si="102"/>
        <v>1x19RVS (AISI316)16</v>
      </c>
      <c r="AD372" t="str">
        <f t="shared" si="103"/>
        <v>1x19RVS (AISI316)</v>
      </c>
      <c r="AE372" s="19">
        <v>16</v>
      </c>
      <c r="AF372" s="355">
        <v>171</v>
      </c>
      <c r="AI372" s="64" t="str">
        <f t="shared" si="100"/>
        <v>Hempex16mm</v>
      </c>
      <c r="AJ372" t="s">
        <v>679</v>
      </c>
      <c r="AK372" s="19" t="s">
        <v>603</v>
      </c>
      <c r="AL372" s="328">
        <f>2.96*9.81</f>
        <v>29.037600000000001</v>
      </c>
      <c r="AY372" s="64" t="str">
        <f t="shared" si="95"/>
        <v>1x19RVS (AISI316)16</v>
      </c>
      <c r="AZ372" t="str">
        <f t="shared" si="104"/>
        <v>1x19RVS (AISI316)</v>
      </c>
      <c r="BA372" s="19">
        <v>16</v>
      </c>
      <c r="BB372" s="355">
        <v>171</v>
      </c>
      <c r="BC372" s="19"/>
    </row>
    <row r="373" spans="29:57" x14ac:dyDescent="0.25">
      <c r="AC373" s="64" t="str">
        <f t="shared" si="102"/>
        <v>1x19RVS (AISI316)17</v>
      </c>
      <c r="AD373" t="str">
        <f t="shared" si="103"/>
        <v>1x19RVS (AISI316)</v>
      </c>
      <c r="AE373" s="19">
        <v>17</v>
      </c>
      <c r="AF373" s="356" t="s">
        <v>412</v>
      </c>
      <c r="AI373" s="64" t="str">
        <f t="shared" si="100"/>
        <v>Hempex18mm</v>
      </c>
      <c r="AJ373" t="s">
        <v>679</v>
      </c>
      <c r="AK373" s="19" t="s">
        <v>360</v>
      </c>
      <c r="AL373" s="328">
        <f>3.54*9.81</f>
        <v>34.727400000000003</v>
      </c>
      <c r="AY373" s="64" t="str">
        <f t="shared" si="95"/>
        <v>1x19RVS (AISI316)17</v>
      </c>
      <c r="AZ373" t="str">
        <f t="shared" si="104"/>
        <v>1x19RVS (AISI316)</v>
      </c>
      <c r="BA373" s="19">
        <v>17</v>
      </c>
      <c r="BB373" s="356" t="s">
        <v>412</v>
      </c>
      <c r="BC373" s="19"/>
    </row>
    <row r="374" spans="29:57" x14ac:dyDescent="0.25">
      <c r="AC374" s="64" t="str">
        <f t="shared" si="102"/>
        <v>1x19RVS (AISI316)18</v>
      </c>
      <c r="AD374" t="str">
        <f t="shared" si="103"/>
        <v>1x19RVS (AISI316)</v>
      </c>
      <c r="AE374" s="19">
        <v>18</v>
      </c>
      <c r="AF374" s="355" t="s">
        <v>412</v>
      </c>
      <c r="AI374" s="64" t="str">
        <f t="shared" si="100"/>
        <v>Hempex19mm</v>
      </c>
      <c r="AJ374" t="s">
        <v>679</v>
      </c>
      <c r="AK374" s="19" t="s">
        <v>624</v>
      </c>
      <c r="AL374" s="328" t="s">
        <v>412</v>
      </c>
      <c r="AY374" s="64" t="str">
        <f t="shared" si="95"/>
        <v>1x19RVS (AISI316)18</v>
      </c>
      <c r="AZ374" t="str">
        <f t="shared" si="104"/>
        <v>1x19RVS (AISI316)</v>
      </c>
      <c r="BA374" s="19">
        <v>18</v>
      </c>
      <c r="BB374" s="355" t="s">
        <v>412</v>
      </c>
      <c r="BC374" s="19"/>
    </row>
    <row r="375" spans="29:57" x14ac:dyDescent="0.25">
      <c r="AC375" s="64" t="str">
        <f t="shared" si="102"/>
        <v>1x19RVS (AISI316)19</v>
      </c>
      <c r="AD375" t="str">
        <f t="shared" si="103"/>
        <v>1x19RVS (AISI316)</v>
      </c>
      <c r="AE375" s="19">
        <v>19</v>
      </c>
      <c r="AF375" s="356">
        <v>211.8</v>
      </c>
      <c r="AI375" s="64" t="str">
        <f t="shared" si="100"/>
        <v>Hempex20mm</v>
      </c>
      <c r="AJ375" t="s">
        <v>679</v>
      </c>
      <c r="AK375" s="19" t="s">
        <v>623</v>
      </c>
      <c r="AL375" s="328">
        <f>3.983*9.81</f>
        <v>39.073230000000002</v>
      </c>
      <c r="AY375" s="64" t="str">
        <f t="shared" si="95"/>
        <v>1x19RVS (AISI316)19</v>
      </c>
      <c r="AZ375" t="str">
        <f t="shared" si="104"/>
        <v>1x19RVS (AISI316)</v>
      </c>
      <c r="BA375" s="19">
        <v>19</v>
      </c>
      <c r="BB375" s="356">
        <v>211.8</v>
      </c>
      <c r="BC375" s="19"/>
    </row>
    <row r="376" spans="29:57" x14ac:dyDescent="0.25">
      <c r="AC376" s="64" t="str">
        <f t="shared" si="102"/>
        <v>1x19RVS (AISI316)20</v>
      </c>
      <c r="AD376" t="str">
        <f t="shared" si="103"/>
        <v>1x19RVS (AISI316)</v>
      </c>
      <c r="AE376" s="19">
        <v>20</v>
      </c>
      <c r="AF376" s="355" t="s">
        <v>412</v>
      </c>
      <c r="AI376" s="64" t="str">
        <f t="shared" si="100"/>
        <v>Hempex22mm</v>
      </c>
      <c r="AJ376" t="s">
        <v>679</v>
      </c>
      <c r="AK376" s="19" t="s">
        <v>361</v>
      </c>
      <c r="AL376" s="328">
        <f>4.774*9.81</f>
        <v>46.832940000000001</v>
      </c>
      <c r="AY376" s="64" t="str">
        <f t="shared" si="95"/>
        <v>1x19RVS (AISI316)20</v>
      </c>
      <c r="AZ376" t="str">
        <f t="shared" si="104"/>
        <v>1x19RVS (AISI316)</v>
      </c>
      <c r="BA376" s="19">
        <v>20</v>
      </c>
      <c r="BB376" s="355" t="s">
        <v>412</v>
      </c>
      <c r="BC376" s="19"/>
    </row>
    <row r="377" spans="29:57" x14ac:dyDescent="0.25">
      <c r="AC377" s="64" t="str">
        <f t="shared" ref="AC377:AC382" si="105">AD377&amp;AE377</f>
        <v>1x19RVS (AISI316)22</v>
      </c>
      <c r="AD377" t="str">
        <f>$AD$359</f>
        <v>1x19RVS (AISI316)</v>
      </c>
      <c r="AE377" s="19">
        <v>22</v>
      </c>
      <c r="AF377" s="356">
        <v>284.3</v>
      </c>
      <c r="AI377" s="64" t="str">
        <f t="shared" si="100"/>
        <v>Hempex24mm</v>
      </c>
      <c r="AJ377" t="s">
        <v>679</v>
      </c>
      <c r="AK377" s="19" t="s">
        <v>362</v>
      </c>
      <c r="AL377" s="328">
        <f>5.579*9.81</f>
        <v>54.729990000000001</v>
      </c>
      <c r="AY377" s="64" t="str">
        <f t="shared" si="95"/>
        <v>1x19RVS (AISI316)22</v>
      </c>
      <c r="AZ377" t="str">
        <f>$AD$359</f>
        <v>1x19RVS (AISI316)</v>
      </c>
      <c r="BA377" s="19">
        <v>22</v>
      </c>
      <c r="BB377" s="356">
        <v>284.3</v>
      </c>
      <c r="BC377" s="19"/>
    </row>
    <row r="378" spans="29:57" x14ac:dyDescent="0.25">
      <c r="AC378" s="64" t="str">
        <f t="shared" si="105"/>
        <v>1x19RVS (AISI316)24</v>
      </c>
      <c r="AD378" t="str">
        <f>$AD$359</f>
        <v>1x19RVS (AISI316)</v>
      </c>
      <c r="AE378" s="19">
        <v>24</v>
      </c>
      <c r="AF378" s="356" t="s">
        <v>412</v>
      </c>
      <c r="AI378" s="64" t="str">
        <f t="shared" ref="AI378:AI402" si="106">+AJ378&amp;AK378</f>
        <v>Hempex26mm</v>
      </c>
      <c r="AJ378" t="s">
        <v>679</v>
      </c>
      <c r="AK378" s="310" t="s">
        <v>629</v>
      </c>
      <c r="AL378" s="328">
        <f>6.454*9.91</f>
        <v>63.959139999999998</v>
      </c>
      <c r="AY378" s="64" t="str">
        <f t="shared" si="95"/>
        <v>1x19RVS (AISI316)24</v>
      </c>
      <c r="AZ378" t="str">
        <f>$AD$359</f>
        <v>1x19RVS (AISI316)</v>
      </c>
      <c r="BA378" s="19">
        <v>24</v>
      </c>
      <c r="BB378" s="356" t="s">
        <v>412</v>
      </c>
      <c r="BC378" s="19"/>
    </row>
    <row r="379" spans="29:57" x14ac:dyDescent="0.25">
      <c r="AC379" s="64" t="str">
        <f t="shared" si="105"/>
        <v>1x19RVS (AISI316)26</v>
      </c>
      <c r="AD379" t="str">
        <f>$AD$359</f>
        <v>1x19RVS (AISI316)</v>
      </c>
      <c r="AE379" s="19">
        <v>26</v>
      </c>
      <c r="AF379" s="356">
        <v>398</v>
      </c>
      <c r="AI379" s="64" t="str">
        <f t="shared" si="106"/>
        <v>Hempex28mm</v>
      </c>
      <c r="AJ379" t="s">
        <v>679</v>
      </c>
      <c r="AK379" s="19" t="s">
        <v>363</v>
      </c>
      <c r="AL379" s="328">
        <f>7.35*9.81</f>
        <v>72.103499999999997</v>
      </c>
      <c r="AY379" s="64" t="str">
        <f t="shared" si="95"/>
        <v>1x19RVS (AISI316)26</v>
      </c>
      <c r="AZ379" t="str">
        <f>$AD$359</f>
        <v>1x19RVS (AISI316)</v>
      </c>
      <c r="BA379" s="19">
        <v>26</v>
      </c>
      <c r="BB379" s="356">
        <v>398</v>
      </c>
      <c r="BC379" s="19"/>
    </row>
    <row r="380" spans="29:57" x14ac:dyDescent="0.25">
      <c r="AC380" s="64" t="str">
        <f t="shared" si="105"/>
        <v>1x19RVS (AISI316)28</v>
      </c>
      <c r="AD380" t="str">
        <f>$AD$359</f>
        <v>1x19RVS (AISI316)</v>
      </c>
      <c r="AE380" s="19">
        <v>28</v>
      </c>
      <c r="AF380" s="356" t="s">
        <v>412</v>
      </c>
      <c r="AI380" s="64" t="str">
        <f t="shared" si="106"/>
        <v>Hempex30mm</v>
      </c>
      <c r="AJ380" t="s">
        <v>679</v>
      </c>
      <c r="AK380" s="19" t="s">
        <v>364</v>
      </c>
      <c r="AL380" s="328">
        <f>8.4*9.81</f>
        <v>82.404000000000011</v>
      </c>
      <c r="AY380" s="64" t="str">
        <f t="shared" si="95"/>
        <v>1x19RVS (AISI316)28</v>
      </c>
      <c r="AZ380" t="str">
        <f>$AD$359</f>
        <v>1x19RVS (AISI316)</v>
      </c>
      <c r="BA380" s="19">
        <v>28</v>
      </c>
      <c r="BB380" s="356" t="s">
        <v>412</v>
      </c>
      <c r="BC380" s="19"/>
    </row>
    <row r="381" spans="29:57" x14ac:dyDescent="0.25">
      <c r="AC381" s="65" t="str">
        <f t="shared" si="105"/>
        <v>1x19RVS (AISI316)30</v>
      </c>
      <c r="AD381" s="67" t="str">
        <f>$AD$359</f>
        <v>1x19RVS (AISI316)</v>
      </c>
      <c r="AE381" s="379">
        <v>30</v>
      </c>
      <c r="AF381" s="357" t="s">
        <v>412</v>
      </c>
      <c r="AI381" s="64" t="str">
        <f t="shared" si="106"/>
        <v>Hempex32mm</v>
      </c>
      <c r="AJ381" t="s">
        <v>679</v>
      </c>
      <c r="AK381" s="19" t="s">
        <v>365</v>
      </c>
      <c r="AL381" s="356" t="s">
        <v>412</v>
      </c>
      <c r="AY381" s="65" t="str">
        <f t="shared" si="95"/>
        <v>1x19RVS (AISI316)30</v>
      </c>
      <c r="AZ381" s="67" t="str">
        <f>$AD$359</f>
        <v>1x19RVS (AISI316)</v>
      </c>
      <c r="BA381" s="379">
        <v>30</v>
      </c>
      <c r="BB381" s="357" t="s">
        <v>412</v>
      </c>
      <c r="BC381" s="379"/>
    </row>
    <row r="382" spans="29:57" x14ac:dyDescent="0.25">
      <c r="AC382" s="65" t="str">
        <f t="shared" si="105"/>
        <v>-</v>
      </c>
      <c r="AD382" s="93" t="s">
        <v>412</v>
      </c>
      <c r="AE382"/>
      <c r="AF382" s="19">
        <v>0</v>
      </c>
      <c r="AI382" s="64" t="str">
        <f t="shared" si="106"/>
        <v>Hempex36mm</v>
      </c>
      <c r="AJ382" t="s">
        <v>679</v>
      </c>
      <c r="AK382" s="19" t="s">
        <v>366</v>
      </c>
      <c r="AL382" s="356" t="s">
        <v>412</v>
      </c>
      <c r="AY382" s="64" t="str">
        <f>AZ382&amp;BA382</f>
        <v>Geslagen-3str.Spunflex3</v>
      </c>
      <c r="AZ382" s="64" t="str">
        <f>AZ12&amp;AY8</f>
        <v>Geslagen-3str.Spunflex</v>
      </c>
      <c r="BA382" s="63">
        <v>3</v>
      </c>
      <c r="BB382" s="356" t="s">
        <v>412</v>
      </c>
      <c r="BC382" s="19"/>
      <c r="BE382" s="63"/>
    </row>
    <row r="383" spans="29:57" x14ac:dyDescent="0.25">
      <c r="AI383" s="64" t="str">
        <f t="shared" si="106"/>
        <v>Hempex38mm</v>
      </c>
      <c r="AJ383" t="s">
        <v>679</v>
      </c>
      <c r="AK383" s="19" t="s">
        <v>885</v>
      </c>
      <c r="AL383" s="356" t="s">
        <v>412</v>
      </c>
      <c r="AY383" s="64" t="str">
        <f t="shared" ref="AY383:AY446" si="107">AZ383&amp;BA383</f>
        <v>Geslagen-3str.Spunflex4</v>
      </c>
      <c r="AZ383" s="64" t="str">
        <f>$AZ$382</f>
        <v>Geslagen-3str.Spunflex</v>
      </c>
      <c r="BA383" s="19">
        <v>4</v>
      </c>
      <c r="BB383" s="356" t="s">
        <v>412</v>
      </c>
      <c r="BC383" s="19"/>
    </row>
    <row r="384" spans="29:57" x14ac:dyDescent="0.25">
      <c r="AI384" s="64" t="str">
        <f t="shared" si="106"/>
        <v>Hempex44mm</v>
      </c>
      <c r="AJ384" t="s">
        <v>679</v>
      </c>
      <c r="AK384" s="19" t="s">
        <v>367</v>
      </c>
      <c r="AL384" s="356" t="s">
        <v>412</v>
      </c>
      <c r="AY384" s="64" t="str">
        <f t="shared" si="107"/>
        <v>Geslagen-3str.Spunflex5</v>
      </c>
      <c r="AZ384" s="64" t="str">
        <f t="shared" ref="AZ384:AZ404" si="108">$AZ$382</f>
        <v>Geslagen-3str.Spunflex</v>
      </c>
      <c r="BA384" s="19">
        <v>5</v>
      </c>
      <c r="BB384" s="356" t="s">
        <v>412</v>
      </c>
      <c r="BC384" s="19"/>
    </row>
    <row r="385" spans="35:58" x14ac:dyDescent="0.25">
      <c r="AI385" s="64" t="str">
        <f t="shared" si="106"/>
        <v>Hempex48mm</v>
      </c>
      <c r="AJ385" t="s">
        <v>679</v>
      </c>
      <c r="AK385" s="19" t="s">
        <v>368</v>
      </c>
      <c r="AL385" s="316" t="s">
        <v>412</v>
      </c>
      <c r="AY385" s="64" t="str">
        <f t="shared" si="107"/>
        <v>Geslagen-3str.Spunflex6</v>
      </c>
      <c r="AZ385" s="64" t="str">
        <f t="shared" si="108"/>
        <v>Geslagen-3str.Spunflex</v>
      </c>
      <c r="BA385" s="19">
        <v>6</v>
      </c>
      <c r="BB385" s="356">
        <v>5.5</v>
      </c>
      <c r="BC385" s="19"/>
    </row>
    <row r="386" spans="35:58" x14ac:dyDescent="0.25">
      <c r="AI386" s="64" t="str">
        <f t="shared" si="106"/>
        <v>Hempex50mm</v>
      </c>
      <c r="AJ386" t="s">
        <v>679</v>
      </c>
      <c r="AK386" s="19" t="s">
        <v>886</v>
      </c>
      <c r="AL386" s="316" t="s">
        <v>412</v>
      </c>
      <c r="AY386" s="64" t="str">
        <f t="shared" si="107"/>
        <v>Geslagen-3str.Spunflex7</v>
      </c>
      <c r="AZ386" s="64" t="str">
        <f t="shared" si="108"/>
        <v>Geslagen-3str.Spunflex</v>
      </c>
      <c r="BA386" s="19">
        <v>7</v>
      </c>
      <c r="BB386" s="356" t="s">
        <v>412</v>
      </c>
      <c r="BC386" s="19"/>
    </row>
    <row r="387" spans="35:58" x14ac:dyDescent="0.25">
      <c r="AI387" s="64" t="str">
        <f t="shared" si="106"/>
        <v>Hempex52mm</v>
      </c>
      <c r="AJ387" t="s">
        <v>679</v>
      </c>
      <c r="AK387" s="19" t="s">
        <v>369</v>
      </c>
      <c r="AL387" s="316" t="s">
        <v>412</v>
      </c>
      <c r="AY387" s="64" t="str">
        <f t="shared" si="107"/>
        <v>Geslagen-3str.Spunflex8</v>
      </c>
      <c r="AZ387" s="64" t="str">
        <f t="shared" si="108"/>
        <v>Geslagen-3str.Spunflex</v>
      </c>
      <c r="BA387" s="19">
        <v>8</v>
      </c>
      <c r="BB387" s="356">
        <f>960/100</f>
        <v>9.6</v>
      </c>
      <c r="BC387" s="19"/>
    </row>
    <row r="388" spans="35:58" x14ac:dyDescent="0.25">
      <c r="AI388" s="64" t="str">
        <f t="shared" si="106"/>
        <v>Hempex1/4"</v>
      </c>
      <c r="AJ388" t="s">
        <v>679</v>
      </c>
      <c r="AK388" s="309" t="s">
        <v>346</v>
      </c>
      <c r="AL388" s="316" t="s">
        <v>412</v>
      </c>
      <c r="AY388" s="64" t="str">
        <f t="shared" si="107"/>
        <v>Geslagen-3str.Spunflex9</v>
      </c>
      <c r="AZ388" s="64" t="str">
        <f t="shared" si="108"/>
        <v>Geslagen-3str.Spunflex</v>
      </c>
      <c r="BA388" s="19">
        <v>9</v>
      </c>
      <c r="BB388" s="356" t="s">
        <v>412</v>
      </c>
      <c r="BC388" s="19"/>
      <c r="BF388" s="328"/>
    </row>
    <row r="389" spans="35:58" x14ac:dyDescent="0.25">
      <c r="AI389" s="64" t="str">
        <f t="shared" si="106"/>
        <v>Hempex5/16"</v>
      </c>
      <c r="AJ389" t="s">
        <v>679</v>
      </c>
      <c r="AK389" s="309" t="s">
        <v>347</v>
      </c>
      <c r="AL389" s="316" t="s">
        <v>412</v>
      </c>
      <c r="AY389" s="64" t="str">
        <f t="shared" si="107"/>
        <v>Geslagen-3str.Spunflex10</v>
      </c>
      <c r="AZ389" s="64" t="str">
        <f t="shared" si="108"/>
        <v>Geslagen-3str.Spunflex</v>
      </c>
      <c r="BA389" s="19">
        <v>10</v>
      </c>
      <c r="BB389" s="327">
        <v>14.3</v>
      </c>
      <c r="BC389" s="19"/>
    </row>
    <row r="390" spans="35:58" x14ac:dyDescent="0.25">
      <c r="AI390" s="64" t="str">
        <f t="shared" si="106"/>
        <v>Hempex3/8"</v>
      </c>
      <c r="AJ390" t="s">
        <v>679</v>
      </c>
      <c r="AK390" s="310" t="s">
        <v>348</v>
      </c>
      <c r="AL390" s="316" t="s">
        <v>412</v>
      </c>
      <c r="AY390" s="64" t="str">
        <f t="shared" si="107"/>
        <v>Geslagen-3str.Spunflex11</v>
      </c>
      <c r="AZ390" s="64" t="str">
        <f t="shared" si="108"/>
        <v>Geslagen-3str.Spunflex</v>
      </c>
      <c r="BA390" s="19">
        <v>11</v>
      </c>
      <c r="BB390" s="356" t="s">
        <v>412</v>
      </c>
      <c r="BC390" s="19"/>
    </row>
    <row r="391" spans="35:58" x14ac:dyDescent="0.25">
      <c r="AI391" s="64" t="str">
        <f t="shared" si="106"/>
        <v>Hempex7/16"</v>
      </c>
      <c r="AJ391" t="s">
        <v>679</v>
      </c>
      <c r="AK391" s="310" t="s">
        <v>349</v>
      </c>
      <c r="AL391" s="316" t="s">
        <v>412</v>
      </c>
      <c r="AY391" s="64" t="str">
        <f t="shared" si="107"/>
        <v>Geslagen-3str.Spunflex12</v>
      </c>
      <c r="AZ391" s="64" t="str">
        <f t="shared" si="108"/>
        <v>Geslagen-3str.Spunflex</v>
      </c>
      <c r="BA391" s="19">
        <v>12</v>
      </c>
      <c r="BB391" s="327">
        <v>20.3</v>
      </c>
      <c r="BC391" s="19"/>
    </row>
    <row r="392" spans="35:58" x14ac:dyDescent="0.25">
      <c r="AI392" s="64" t="str">
        <f t="shared" si="106"/>
        <v>Hempex1/2"</v>
      </c>
      <c r="AJ392" t="s">
        <v>679</v>
      </c>
      <c r="AK392" s="310" t="s">
        <v>350</v>
      </c>
      <c r="AL392" s="316" t="s">
        <v>412</v>
      </c>
      <c r="AY392" s="64" t="str">
        <f t="shared" si="107"/>
        <v>Geslagen-3str.Spunflex13</v>
      </c>
      <c r="AZ392" s="64" t="str">
        <f t="shared" si="108"/>
        <v>Geslagen-3str.Spunflex</v>
      </c>
      <c r="BA392" s="19">
        <v>13</v>
      </c>
      <c r="BB392" s="356" t="s">
        <v>412</v>
      </c>
      <c r="BC392" s="19"/>
      <c r="BE392" s="310"/>
    </row>
    <row r="393" spans="35:58" x14ac:dyDescent="0.25">
      <c r="AI393" s="64" t="str">
        <f t="shared" si="106"/>
        <v>Hempex5/8"</v>
      </c>
      <c r="AJ393" t="s">
        <v>679</v>
      </c>
      <c r="AK393" s="310" t="s">
        <v>351</v>
      </c>
      <c r="AL393" s="316" t="s">
        <v>412</v>
      </c>
      <c r="AY393" s="64" t="str">
        <f t="shared" si="107"/>
        <v>Geslagen-3str.Spunflex14</v>
      </c>
      <c r="AZ393" s="64" t="str">
        <f t="shared" si="108"/>
        <v>Geslagen-3str.Spunflex</v>
      </c>
      <c r="BA393" s="19">
        <v>14</v>
      </c>
      <c r="BB393" s="327">
        <v>27.9</v>
      </c>
      <c r="BC393" s="19"/>
    </row>
    <row r="394" spans="35:58" x14ac:dyDescent="0.25">
      <c r="AI394" s="64" t="str">
        <f t="shared" si="106"/>
        <v>Hempex3/4"</v>
      </c>
      <c r="AJ394" t="s">
        <v>679</v>
      </c>
      <c r="AK394" s="310" t="s">
        <v>352</v>
      </c>
      <c r="AL394" s="316" t="s">
        <v>412</v>
      </c>
      <c r="AY394" s="64" t="str">
        <f t="shared" si="107"/>
        <v>Geslagen-3str.Spunflex15</v>
      </c>
      <c r="AZ394" s="64" t="str">
        <f t="shared" si="108"/>
        <v>Geslagen-3str.Spunflex</v>
      </c>
      <c r="BA394" s="19">
        <v>15</v>
      </c>
      <c r="BB394" s="356" t="s">
        <v>412</v>
      </c>
      <c r="BC394" s="19"/>
      <c r="BF394" s="328"/>
    </row>
    <row r="395" spans="35:58" x14ac:dyDescent="0.25">
      <c r="AI395" s="64" t="str">
        <f t="shared" si="106"/>
        <v>Hempex7/8"</v>
      </c>
      <c r="AJ395" t="s">
        <v>679</v>
      </c>
      <c r="AK395" s="310" t="s">
        <v>353</v>
      </c>
      <c r="AL395" s="316" t="s">
        <v>412</v>
      </c>
      <c r="AY395" s="64" t="str">
        <f t="shared" si="107"/>
        <v>Geslagen-3str.Spunflex16</v>
      </c>
      <c r="AZ395" s="64" t="str">
        <f t="shared" si="108"/>
        <v>Geslagen-3str.Spunflex</v>
      </c>
      <c r="BA395" s="19">
        <v>16</v>
      </c>
      <c r="BB395" s="327">
        <v>35</v>
      </c>
      <c r="BC395" s="19"/>
      <c r="BF395" s="328"/>
    </row>
    <row r="396" spans="35:58" x14ac:dyDescent="0.25">
      <c r="AI396" s="64" t="str">
        <f t="shared" si="106"/>
        <v>Hempex1"</v>
      </c>
      <c r="AJ396" t="s">
        <v>679</v>
      </c>
      <c r="AK396" s="310" t="s">
        <v>354</v>
      </c>
      <c r="AL396" s="316" t="s">
        <v>412</v>
      </c>
      <c r="AY396" s="64" t="str">
        <f t="shared" si="107"/>
        <v>Geslagen-3str.Spunflex17</v>
      </c>
      <c r="AZ396" s="64" t="str">
        <f t="shared" si="108"/>
        <v>Geslagen-3str.Spunflex</v>
      </c>
      <c r="BA396" s="19">
        <v>17</v>
      </c>
      <c r="BB396" s="356" t="s">
        <v>412</v>
      </c>
      <c r="BC396" s="19"/>
    </row>
    <row r="397" spans="35:58" x14ac:dyDescent="0.25">
      <c r="AI397" s="64" t="str">
        <f t="shared" si="106"/>
        <v>Hempex1 1/8"</v>
      </c>
      <c r="AJ397" t="s">
        <v>679</v>
      </c>
      <c r="AK397" s="310" t="s">
        <v>355</v>
      </c>
      <c r="AL397" s="316" t="s">
        <v>412</v>
      </c>
      <c r="AY397" s="64" t="str">
        <f t="shared" si="107"/>
        <v>Geslagen-3str.Spunflex18</v>
      </c>
      <c r="AZ397" s="64" t="str">
        <f t="shared" si="108"/>
        <v>Geslagen-3str.Spunflex</v>
      </c>
      <c r="BA397" s="19">
        <v>18</v>
      </c>
      <c r="BB397" s="327">
        <v>45</v>
      </c>
      <c r="BC397" s="19"/>
    </row>
    <row r="398" spans="35:58" x14ac:dyDescent="0.25">
      <c r="AI398" s="64" t="str">
        <f t="shared" si="106"/>
        <v>Hempex1 1/4"</v>
      </c>
      <c r="AJ398" t="s">
        <v>679</v>
      </c>
      <c r="AK398" s="310" t="s">
        <v>356</v>
      </c>
      <c r="AL398" s="316" t="s">
        <v>412</v>
      </c>
      <c r="AY398" s="64" t="str">
        <f t="shared" si="107"/>
        <v>Geslagen-3str.Spunflex19</v>
      </c>
      <c r="AZ398" s="64" t="str">
        <f t="shared" si="108"/>
        <v>Geslagen-3str.Spunflex</v>
      </c>
      <c r="BA398" s="19">
        <v>19</v>
      </c>
      <c r="BB398" s="356" t="s">
        <v>412</v>
      </c>
      <c r="BC398" s="19"/>
    </row>
    <row r="399" spans="35:58" x14ac:dyDescent="0.25">
      <c r="AI399" s="64" t="str">
        <f t="shared" si="106"/>
        <v>Hempex1 1/2"</v>
      </c>
      <c r="AJ399" t="s">
        <v>679</v>
      </c>
      <c r="AK399" s="310" t="s">
        <v>357</v>
      </c>
      <c r="AL399" s="316" t="s">
        <v>412</v>
      </c>
      <c r="AY399" s="64" t="str">
        <f t="shared" si="107"/>
        <v>Geslagen-3str.Spunflex20</v>
      </c>
      <c r="AZ399" s="64" t="str">
        <f t="shared" si="108"/>
        <v>Geslagen-3str.Spunflex</v>
      </c>
      <c r="BA399" s="19">
        <v>20</v>
      </c>
      <c r="BB399" s="328">
        <v>55</v>
      </c>
      <c r="BC399" s="19"/>
    </row>
    <row r="400" spans="35:58" x14ac:dyDescent="0.25">
      <c r="AI400" s="64" t="str">
        <f t="shared" si="106"/>
        <v>Hempex1 3/4"</v>
      </c>
      <c r="AJ400" t="s">
        <v>679</v>
      </c>
      <c r="AK400" s="310" t="s">
        <v>358</v>
      </c>
      <c r="AL400" s="316" t="s">
        <v>412</v>
      </c>
      <c r="AY400" s="64" t="str">
        <f t="shared" si="107"/>
        <v>Geslagen-3str.Spunflex22</v>
      </c>
      <c r="AZ400" s="64" t="str">
        <f t="shared" si="108"/>
        <v>Geslagen-3str.Spunflex</v>
      </c>
      <c r="BA400" s="19">
        <v>22</v>
      </c>
      <c r="BB400" s="328">
        <v>67</v>
      </c>
      <c r="BC400" s="19"/>
    </row>
    <row r="401" spans="35:58" x14ac:dyDescent="0.25">
      <c r="AI401" s="64" t="str">
        <f t="shared" si="106"/>
        <v>Hempex2"</v>
      </c>
      <c r="AJ401" t="s">
        <v>679</v>
      </c>
      <c r="AK401" s="311" t="s">
        <v>359</v>
      </c>
      <c r="AL401" s="316" t="s">
        <v>412</v>
      </c>
      <c r="AY401" s="64" t="str">
        <f t="shared" si="107"/>
        <v>Geslagen-3str.Spunflex24</v>
      </c>
      <c r="AZ401" s="64" t="str">
        <f t="shared" si="108"/>
        <v>Geslagen-3str.Spunflex</v>
      </c>
      <c r="BA401" s="19">
        <v>24</v>
      </c>
      <c r="BB401" s="328">
        <v>75</v>
      </c>
      <c r="BC401" s="19"/>
    </row>
    <row r="402" spans="35:58" x14ac:dyDescent="0.25">
      <c r="AI402" s="64" t="str">
        <f t="shared" si="106"/>
        <v>-</v>
      </c>
      <c r="AJ402" s="93" t="s">
        <v>412</v>
      </c>
      <c r="AL402" s="19">
        <v>0</v>
      </c>
      <c r="AY402" s="64" t="str">
        <f t="shared" si="107"/>
        <v>Geslagen-3str.Spunflex26</v>
      </c>
      <c r="AZ402" s="64" t="str">
        <f t="shared" si="108"/>
        <v>Geslagen-3str.Spunflex</v>
      </c>
      <c r="BA402" s="19">
        <v>26</v>
      </c>
      <c r="BB402" s="328">
        <v>89</v>
      </c>
      <c r="BC402" s="19"/>
    </row>
    <row r="403" spans="35:58" x14ac:dyDescent="0.25">
      <c r="AY403" s="64" t="str">
        <f t="shared" si="107"/>
        <v>Geslagen-3str.Spunflex28</v>
      </c>
      <c r="AZ403" s="64" t="str">
        <f t="shared" si="108"/>
        <v>Geslagen-3str.Spunflex</v>
      </c>
      <c r="BA403" s="19">
        <v>28</v>
      </c>
      <c r="BB403" s="328">
        <v>101</v>
      </c>
      <c r="BC403" s="19"/>
    </row>
    <row r="404" spans="35:58" x14ac:dyDescent="0.25">
      <c r="AY404" s="65" t="str">
        <f t="shared" si="107"/>
        <v>Geslagen-3str.Spunflex30</v>
      </c>
      <c r="AZ404" s="65" t="str">
        <f t="shared" si="108"/>
        <v>Geslagen-3str.Spunflex</v>
      </c>
      <c r="BA404" s="379">
        <v>30</v>
      </c>
      <c r="BB404" s="357" t="s">
        <v>412</v>
      </c>
      <c r="BC404" s="379"/>
    </row>
    <row r="405" spans="35:58" x14ac:dyDescent="0.25">
      <c r="AX405" s="46" t="s">
        <v>114</v>
      </c>
      <c r="AY405" s="64" t="str">
        <f t="shared" si="107"/>
        <v>Geslagen-3str.Spleitex3</v>
      </c>
      <c r="AZ405" s="64" t="str">
        <f>AZ12&amp;AY9</f>
        <v>Geslagen-3str.Spleitex</v>
      </c>
      <c r="BA405" s="19">
        <v>3</v>
      </c>
      <c r="BB405" s="356" t="s">
        <v>412</v>
      </c>
      <c r="BC405" s="19"/>
    </row>
    <row r="406" spans="35:58" x14ac:dyDescent="0.25">
      <c r="AY406" s="64" t="str">
        <f t="shared" si="107"/>
        <v>Geslagen-3str.Spleitex4</v>
      </c>
      <c r="AZ406" s="64" t="str">
        <f>$AZ$405</f>
        <v>Geslagen-3str.Spleitex</v>
      </c>
      <c r="BA406" s="19">
        <v>4</v>
      </c>
      <c r="BB406" s="356" t="s">
        <v>412</v>
      </c>
      <c r="BC406" s="19"/>
    </row>
    <row r="407" spans="35:58" x14ac:dyDescent="0.25">
      <c r="AY407" s="64" t="str">
        <f t="shared" si="107"/>
        <v>Geslagen-3str.Spleitex5</v>
      </c>
      <c r="AZ407" s="64" t="str">
        <f t="shared" ref="AZ407:AZ427" si="109">$AZ$405</f>
        <v>Geslagen-3str.Spleitex</v>
      </c>
      <c r="BA407" s="19">
        <v>5</v>
      </c>
      <c r="BB407" s="356" t="s">
        <v>412</v>
      </c>
      <c r="BC407" s="19"/>
    </row>
    <row r="408" spans="35:58" x14ac:dyDescent="0.25">
      <c r="AY408" s="64" t="str">
        <f t="shared" si="107"/>
        <v>Geslagen-3str.Spleitex6</v>
      </c>
      <c r="AZ408" s="64" t="str">
        <f t="shared" si="109"/>
        <v>Geslagen-3str.Spleitex</v>
      </c>
      <c r="BA408" s="19">
        <v>6</v>
      </c>
      <c r="BB408" s="316">
        <f>335/100</f>
        <v>3.35</v>
      </c>
      <c r="BC408" s="19"/>
    </row>
    <row r="409" spans="35:58" x14ac:dyDescent="0.25">
      <c r="AY409" s="64" t="str">
        <f t="shared" si="107"/>
        <v>Geslagen-3str.Spleitex7</v>
      </c>
      <c r="AZ409" s="64" t="str">
        <f t="shared" si="109"/>
        <v>Geslagen-3str.Spleitex</v>
      </c>
      <c r="BA409" s="19">
        <v>7</v>
      </c>
      <c r="BB409" s="356" t="s">
        <v>412</v>
      </c>
      <c r="BC409" s="19"/>
    </row>
    <row r="410" spans="35:58" x14ac:dyDescent="0.25">
      <c r="AY410" s="64" t="str">
        <f t="shared" si="107"/>
        <v>Geslagen-3str.Spleitex8</v>
      </c>
      <c r="AZ410" s="64" t="str">
        <f t="shared" si="109"/>
        <v>Geslagen-3str.Spleitex</v>
      </c>
      <c r="BA410" s="19">
        <v>8</v>
      </c>
      <c r="BB410" s="327">
        <v>5.95</v>
      </c>
      <c r="BC410" s="19"/>
    </row>
    <row r="411" spans="35:58" x14ac:dyDescent="0.25">
      <c r="AY411" s="64" t="str">
        <f t="shared" si="107"/>
        <v>Geslagen-3str.Spleitex9</v>
      </c>
      <c r="AZ411" s="64" t="str">
        <f t="shared" si="109"/>
        <v>Geslagen-3str.Spleitex</v>
      </c>
      <c r="BA411" s="19">
        <v>9</v>
      </c>
      <c r="BB411" s="356" t="s">
        <v>412</v>
      </c>
      <c r="BC411" s="19"/>
    </row>
    <row r="412" spans="35:58" x14ac:dyDescent="0.25">
      <c r="AY412" s="64" t="str">
        <f t="shared" si="107"/>
        <v>Geslagen-3str.Spleitex10</v>
      </c>
      <c r="AZ412" s="64" t="str">
        <f t="shared" si="109"/>
        <v>Geslagen-3str.Spleitex</v>
      </c>
      <c r="BA412" s="19">
        <v>10</v>
      </c>
      <c r="BB412" s="327">
        <v>9</v>
      </c>
      <c r="BC412" s="19"/>
      <c r="BF412" s="328" t="s">
        <v>412</v>
      </c>
    </row>
    <row r="413" spans="35:58" x14ac:dyDescent="0.25">
      <c r="AY413" s="64" t="str">
        <f t="shared" si="107"/>
        <v>Geslagen-3str.Spleitex11</v>
      </c>
      <c r="AZ413" s="64" t="str">
        <f t="shared" si="109"/>
        <v>Geslagen-3str.Spleitex</v>
      </c>
      <c r="BA413" s="19">
        <v>11</v>
      </c>
      <c r="BB413" s="356" t="s">
        <v>412</v>
      </c>
      <c r="BC413" s="19"/>
    </row>
    <row r="414" spans="35:58" x14ac:dyDescent="0.25">
      <c r="AY414" s="64" t="str">
        <f t="shared" si="107"/>
        <v>Geslagen-3str.Spleitex12</v>
      </c>
      <c r="AZ414" s="64" t="str">
        <f t="shared" si="109"/>
        <v>Geslagen-3str.Spleitex</v>
      </c>
      <c r="BA414" s="19">
        <v>12</v>
      </c>
      <c r="BB414" s="327">
        <v>13.4</v>
      </c>
      <c r="BC414" s="19"/>
      <c r="BF414" s="328" t="s">
        <v>412</v>
      </c>
    </row>
    <row r="415" spans="35:58" x14ac:dyDescent="0.25">
      <c r="AY415" s="64" t="str">
        <f t="shared" si="107"/>
        <v>Geslagen-3str.Spleitex13</v>
      </c>
      <c r="AZ415" s="64" t="str">
        <f t="shared" si="109"/>
        <v>Geslagen-3str.Spleitex</v>
      </c>
      <c r="BA415" s="19">
        <v>13</v>
      </c>
      <c r="BB415" s="356" t="s">
        <v>412</v>
      </c>
      <c r="BC415" s="19"/>
    </row>
    <row r="416" spans="35:58" x14ac:dyDescent="0.25">
      <c r="AY416" s="64" t="str">
        <f t="shared" si="107"/>
        <v>Geslagen-3str.Spleitex14</v>
      </c>
      <c r="AZ416" s="64" t="str">
        <f t="shared" si="109"/>
        <v>Geslagen-3str.Spleitex</v>
      </c>
      <c r="BA416" s="19">
        <v>14</v>
      </c>
      <c r="BB416" s="327">
        <v>17.399999999999999</v>
      </c>
      <c r="BC416" s="19"/>
    </row>
    <row r="417" spans="50:58" x14ac:dyDescent="0.25">
      <c r="AY417" s="64" t="str">
        <f t="shared" si="107"/>
        <v>Geslagen-3str.Spleitex15</v>
      </c>
      <c r="AZ417" s="64" t="str">
        <f t="shared" si="109"/>
        <v>Geslagen-3str.Spleitex</v>
      </c>
      <c r="BA417" s="19">
        <v>15</v>
      </c>
      <c r="BB417" s="356" t="s">
        <v>412</v>
      </c>
      <c r="BC417" s="19"/>
    </row>
    <row r="418" spans="50:58" x14ac:dyDescent="0.25">
      <c r="AY418" s="64" t="str">
        <f t="shared" si="107"/>
        <v>Geslagen-3str.Spleitex16</v>
      </c>
      <c r="AZ418" s="64" t="str">
        <f t="shared" si="109"/>
        <v>Geslagen-3str.Spleitex</v>
      </c>
      <c r="BA418" s="19">
        <v>16</v>
      </c>
      <c r="BB418" s="327">
        <v>21.8</v>
      </c>
      <c r="BC418" s="19"/>
    </row>
    <row r="419" spans="50:58" x14ac:dyDescent="0.25">
      <c r="AY419" s="64" t="str">
        <f t="shared" si="107"/>
        <v>Geslagen-3str.Spleitex17</v>
      </c>
      <c r="AZ419" s="64" t="str">
        <f t="shared" si="109"/>
        <v>Geslagen-3str.Spleitex</v>
      </c>
      <c r="BA419" s="19">
        <v>17</v>
      </c>
      <c r="BB419" s="356" t="s">
        <v>412</v>
      </c>
      <c r="BC419" s="19"/>
    </row>
    <row r="420" spans="50:58" x14ac:dyDescent="0.25">
      <c r="AY420" s="64" t="str">
        <f t="shared" si="107"/>
        <v>Geslagen-3str.Spleitex18</v>
      </c>
      <c r="AZ420" s="64" t="str">
        <f t="shared" si="109"/>
        <v>Geslagen-3str.Spleitex</v>
      </c>
      <c r="BA420" s="19">
        <v>18</v>
      </c>
      <c r="BB420" s="327">
        <v>27.3</v>
      </c>
      <c r="BC420" s="19"/>
    </row>
    <row r="421" spans="50:58" x14ac:dyDescent="0.25">
      <c r="AY421" s="64" t="str">
        <f t="shared" si="107"/>
        <v>Geslagen-3str.Spleitex19</v>
      </c>
      <c r="AZ421" s="64" t="str">
        <f t="shared" si="109"/>
        <v>Geslagen-3str.Spleitex</v>
      </c>
      <c r="BA421" s="19">
        <v>19</v>
      </c>
      <c r="BB421" s="356" t="s">
        <v>412</v>
      </c>
      <c r="BC421" s="19"/>
    </row>
    <row r="422" spans="50:58" x14ac:dyDescent="0.25">
      <c r="AY422" s="64" t="str">
        <f t="shared" si="107"/>
        <v>Geslagen-3str.Spleitex20</v>
      </c>
      <c r="AZ422" s="64" t="str">
        <f t="shared" si="109"/>
        <v>Geslagen-3str.Spleitex</v>
      </c>
      <c r="BA422" s="19">
        <v>20</v>
      </c>
      <c r="BB422" s="328">
        <v>34.200000000000003</v>
      </c>
      <c r="BC422" s="19"/>
    </row>
    <row r="423" spans="50:58" x14ac:dyDescent="0.25">
      <c r="AY423" s="64" t="str">
        <f t="shared" si="107"/>
        <v>Geslagen-3str.Spleitex22</v>
      </c>
      <c r="AZ423" s="64" t="str">
        <f t="shared" si="109"/>
        <v>Geslagen-3str.Spleitex</v>
      </c>
      <c r="BA423" s="19">
        <v>22</v>
      </c>
      <c r="BB423" s="356" t="s">
        <v>412</v>
      </c>
      <c r="BC423" s="19"/>
    </row>
    <row r="424" spans="50:58" x14ac:dyDescent="0.25">
      <c r="AY424" s="64" t="str">
        <f t="shared" si="107"/>
        <v>Geslagen-3str.Spleitex24</v>
      </c>
      <c r="AZ424" s="64" t="str">
        <f t="shared" si="109"/>
        <v>Geslagen-3str.Spleitex</v>
      </c>
      <c r="BA424" s="19">
        <v>24</v>
      </c>
      <c r="BB424" s="328">
        <v>48.3</v>
      </c>
      <c r="BC424" s="19"/>
    </row>
    <row r="425" spans="50:58" x14ac:dyDescent="0.25">
      <c r="AY425" s="64" t="str">
        <f t="shared" si="107"/>
        <v>Geslagen-3str.Spleitex26</v>
      </c>
      <c r="AZ425" s="64" t="str">
        <f t="shared" si="109"/>
        <v>Geslagen-3str.Spleitex</v>
      </c>
      <c r="BA425" s="19">
        <v>26</v>
      </c>
      <c r="BB425" s="356" t="s">
        <v>412</v>
      </c>
      <c r="BC425" s="19"/>
    </row>
    <row r="426" spans="50:58" x14ac:dyDescent="0.25">
      <c r="AY426" s="64" t="str">
        <f t="shared" si="107"/>
        <v>Geslagen-3str.Spleitex28</v>
      </c>
      <c r="AZ426" s="64" t="str">
        <f t="shared" si="109"/>
        <v>Geslagen-3str.Spleitex</v>
      </c>
      <c r="BA426" s="19">
        <v>28</v>
      </c>
      <c r="BB426" s="356" t="s">
        <v>412</v>
      </c>
      <c r="BC426" s="19"/>
    </row>
    <row r="427" spans="50:58" x14ac:dyDescent="0.25">
      <c r="AY427" s="65" t="str">
        <f t="shared" si="107"/>
        <v>Geslagen-3str.Spleitex30</v>
      </c>
      <c r="AZ427" s="65" t="str">
        <f t="shared" si="109"/>
        <v>Geslagen-3str.Spleitex</v>
      </c>
      <c r="BA427" s="379">
        <v>30</v>
      </c>
      <c r="BB427" s="357" t="s">
        <v>412</v>
      </c>
      <c r="BC427" s="379"/>
    </row>
    <row r="428" spans="50:58" x14ac:dyDescent="0.25">
      <c r="AX428" s="46" t="s">
        <v>881</v>
      </c>
      <c r="AY428" s="64" t="str">
        <f t="shared" si="107"/>
        <v>Geslagen-3str.Polyester3</v>
      </c>
      <c r="AZ428" s="64" t="str">
        <f>AZ12&amp;AY10</f>
        <v>Geslagen-3str.Polyester</v>
      </c>
      <c r="BA428" s="19">
        <v>3</v>
      </c>
      <c r="BB428" s="356" t="s">
        <v>412</v>
      </c>
      <c r="BC428" s="19"/>
      <c r="BE428" s="63"/>
    </row>
    <row r="429" spans="50:58" x14ac:dyDescent="0.25">
      <c r="AY429" s="64" t="str">
        <f t="shared" si="107"/>
        <v>Geslagen-3str.Polyester4</v>
      </c>
      <c r="AZ429" s="64" t="str">
        <f>$AZ$428</f>
        <v>Geslagen-3str.Polyester</v>
      </c>
      <c r="BA429" s="19">
        <v>4</v>
      </c>
      <c r="BB429" s="356" t="s">
        <v>412</v>
      </c>
      <c r="BC429" s="19"/>
    </row>
    <row r="430" spans="50:58" x14ac:dyDescent="0.25">
      <c r="AY430" s="64" t="str">
        <f t="shared" si="107"/>
        <v>Geslagen-3str.Polyester5</v>
      </c>
      <c r="AZ430" s="64" t="str">
        <f t="shared" ref="AZ430:AZ450" si="110">$AZ$428</f>
        <v>Geslagen-3str.Polyester</v>
      </c>
      <c r="BA430" s="19">
        <v>5</v>
      </c>
      <c r="BB430" s="356" t="s">
        <v>412</v>
      </c>
      <c r="BC430" s="19"/>
    </row>
    <row r="431" spans="50:58" x14ac:dyDescent="0.25">
      <c r="AY431" s="64" t="str">
        <f t="shared" si="107"/>
        <v>Geslagen-3str.Polyester6</v>
      </c>
      <c r="AZ431" s="64" t="str">
        <f t="shared" si="110"/>
        <v>Geslagen-3str.Polyester</v>
      </c>
      <c r="BA431" s="19">
        <v>6</v>
      </c>
      <c r="BB431" s="356" t="s">
        <v>412</v>
      </c>
      <c r="BC431" s="19"/>
      <c r="BF431" s="328"/>
    </row>
    <row r="432" spans="50:58" x14ac:dyDescent="0.25">
      <c r="AY432" s="64" t="str">
        <f t="shared" si="107"/>
        <v>Geslagen-3str.Polyester7</v>
      </c>
      <c r="AZ432" s="64" t="str">
        <f t="shared" si="110"/>
        <v>Geslagen-3str.Polyester</v>
      </c>
      <c r="BA432" s="19">
        <v>7</v>
      </c>
      <c r="BB432" s="356" t="s">
        <v>412</v>
      </c>
      <c r="BC432" s="19"/>
    </row>
    <row r="433" spans="51:58" x14ac:dyDescent="0.25">
      <c r="AY433" s="64" t="str">
        <f t="shared" si="107"/>
        <v>Geslagen-3str.Polyester8</v>
      </c>
      <c r="AZ433" s="64" t="str">
        <f t="shared" si="110"/>
        <v>Geslagen-3str.Polyester</v>
      </c>
      <c r="BA433" s="19">
        <v>8</v>
      </c>
      <c r="BB433" s="356">
        <f>1.6*9.81</f>
        <v>15.696000000000002</v>
      </c>
      <c r="BC433" s="19"/>
    </row>
    <row r="434" spans="51:58" x14ac:dyDescent="0.25">
      <c r="AY434" s="64" t="str">
        <f t="shared" si="107"/>
        <v>Geslagen-3str.Polyester9</v>
      </c>
      <c r="AZ434" s="64" t="str">
        <f t="shared" si="110"/>
        <v>Geslagen-3str.Polyester</v>
      </c>
      <c r="BA434" s="19">
        <v>9</v>
      </c>
      <c r="BB434" s="356" t="s">
        <v>412</v>
      </c>
      <c r="BC434" s="19"/>
      <c r="BF434" s="328"/>
    </row>
    <row r="435" spans="51:58" x14ac:dyDescent="0.25">
      <c r="AY435" s="64" t="str">
        <f t="shared" si="107"/>
        <v>Geslagen-3str.Polyester10</v>
      </c>
      <c r="AZ435" s="64" t="str">
        <f t="shared" si="110"/>
        <v>Geslagen-3str.Polyester</v>
      </c>
      <c r="BA435" s="19">
        <v>10</v>
      </c>
      <c r="BB435" s="356">
        <f>2.25*9.81</f>
        <v>22.072500000000002</v>
      </c>
      <c r="BC435" s="19"/>
    </row>
    <row r="436" spans="51:58" x14ac:dyDescent="0.25">
      <c r="AY436" s="64" t="str">
        <f t="shared" si="107"/>
        <v>Geslagen-3str.Polyester11</v>
      </c>
      <c r="AZ436" s="64" t="str">
        <f t="shared" si="110"/>
        <v>Geslagen-3str.Polyester</v>
      </c>
      <c r="BA436" s="19">
        <v>11</v>
      </c>
      <c r="BB436" s="356" t="s">
        <v>412</v>
      </c>
      <c r="BC436" s="19"/>
      <c r="BF436" s="328"/>
    </row>
    <row r="437" spans="51:58" x14ac:dyDescent="0.25">
      <c r="AY437" s="64" t="str">
        <f t="shared" si="107"/>
        <v>Geslagen-3str.Polyester12</v>
      </c>
      <c r="AZ437" s="64" t="str">
        <f t="shared" si="110"/>
        <v>Geslagen-3str.Polyester</v>
      </c>
      <c r="BA437" s="19">
        <v>12</v>
      </c>
      <c r="BB437" s="327">
        <f>3.3*9.81</f>
        <v>32.372999999999998</v>
      </c>
      <c r="BC437" s="19"/>
    </row>
    <row r="438" spans="51:58" x14ac:dyDescent="0.25">
      <c r="AY438" s="64" t="str">
        <f t="shared" si="107"/>
        <v>Geslagen-3str.Polyester13</v>
      </c>
      <c r="AZ438" s="64" t="str">
        <f t="shared" si="110"/>
        <v>Geslagen-3str.Polyester</v>
      </c>
      <c r="BA438" s="19">
        <v>13</v>
      </c>
      <c r="BB438" s="356" t="s">
        <v>412</v>
      </c>
      <c r="BC438" s="19"/>
      <c r="BE438" s="310"/>
      <c r="BF438" s="328"/>
    </row>
    <row r="439" spans="51:58" x14ac:dyDescent="0.25">
      <c r="AY439" s="64" t="str">
        <f t="shared" si="107"/>
        <v>Geslagen-3str.Polyester14</v>
      </c>
      <c r="AZ439" s="64" t="str">
        <f t="shared" si="110"/>
        <v>Geslagen-3str.Polyester</v>
      </c>
      <c r="BA439" s="19">
        <v>14</v>
      </c>
      <c r="BB439" s="356" t="s">
        <v>412</v>
      </c>
      <c r="BC439" s="19"/>
      <c r="BF439" s="328"/>
    </row>
    <row r="440" spans="51:58" x14ac:dyDescent="0.25">
      <c r="AY440" s="64" t="str">
        <f t="shared" si="107"/>
        <v>Geslagen-3str.Polyester15</v>
      </c>
      <c r="AZ440" s="64" t="str">
        <f t="shared" si="110"/>
        <v>Geslagen-3str.Polyester</v>
      </c>
      <c r="BA440" s="19">
        <v>15</v>
      </c>
      <c r="BB440" s="356" t="s">
        <v>412</v>
      </c>
      <c r="BC440" s="19"/>
      <c r="BF440" s="328"/>
    </row>
    <row r="441" spans="51:58" x14ac:dyDescent="0.25">
      <c r="AY441" s="64" t="str">
        <f t="shared" si="107"/>
        <v>Geslagen-3str.Polyester16</v>
      </c>
      <c r="AZ441" s="64" t="str">
        <f t="shared" si="110"/>
        <v>Geslagen-3str.Polyester</v>
      </c>
      <c r="BA441" s="19">
        <v>16</v>
      </c>
      <c r="BB441" s="327">
        <f>5.4*9.81</f>
        <v>52.974000000000004</v>
      </c>
      <c r="BC441" s="19"/>
      <c r="BF441" s="328"/>
    </row>
    <row r="442" spans="51:58" x14ac:dyDescent="0.25">
      <c r="AY442" s="64" t="str">
        <f t="shared" si="107"/>
        <v>Geslagen-3str.Polyester17</v>
      </c>
      <c r="AZ442" s="64" t="str">
        <f t="shared" si="110"/>
        <v>Geslagen-3str.Polyester</v>
      </c>
      <c r="BA442" s="19">
        <v>17</v>
      </c>
      <c r="BB442" s="356" t="s">
        <v>412</v>
      </c>
      <c r="BC442" s="19"/>
    </row>
    <row r="443" spans="51:58" x14ac:dyDescent="0.25">
      <c r="AY443" s="64" t="str">
        <f t="shared" si="107"/>
        <v>Geslagen-3str.Polyester18</v>
      </c>
      <c r="AZ443" s="64" t="str">
        <f t="shared" si="110"/>
        <v>Geslagen-3str.Polyester</v>
      </c>
      <c r="BA443" s="19">
        <v>18</v>
      </c>
      <c r="BB443" s="327">
        <f>6.3*9.81</f>
        <v>61.803000000000004</v>
      </c>
      <c r="BC443" s="19"/>
    </row>
    <row r="444" spans="51:58" x14ac:dyDescent="0.25">
      <c r="AY444" s="64" t="str">
        <f t="shared" si="107"/>
        <v>Geslagen-3str.Polyester19</v>
      </c>
      <c r="AZ444" s="64" t="str">
        <f t="shared" si="110"/>
        <v>Geslagen-3str.Polyester</v>
      </c>
      <c r="BA444" s="19">
        <v>19</v>
      </c>
      <c r="BB444" s="356" t="s">
        <v>412</v>
      </c>
      <c r="BC444" s="19"/>
    </row>
    <row r="445" spans="51:58" x14ac:dyDescent="0.25">
      <c r="AY445" s="64" t="str">
        <f t="shared" si="107"/>
        <v>Geslagen-3str.Polyester20</v>
      </c>
      <c r="AZ445" s="64" t="str">
        <f t="shared" si="110"/>
        <v>Geslagen-3str.Polyester</v>
      </c>
      <c r="BA445" s="19">
        <v>20</v>
      </c>
      <c r="BB445" s="328">
        <f>7.2*9.81</f>
        <v>70.632000000000005</v>
      </c>
      <c r="BC445" s="19"/>
    </row>
    <row r="446" spans="51:58" x14ac:dyDescent="0.25">
      <c r="AY446" s="64" t="str">
        <f t="shared" si="107"/>
        <v>Geslagen-3str.Polyester22</v>
      </c>
      <c r="AZ446" s="64" t="str">
        <f t="shared" si="110"/>
        <v>Geslagen-3str.Polyester</v>
      </c>
      <c r="BA446" s="19">
        <v>22</v>
      </c>
      <c r="BB446" s="356" t="s">
        <v>412</v>
      </c>
      <c r="BC446" s="19"/>
    </row>
    <row r="447" spans="51:58" x14ac:dyDescent="0.25">
      <c r="AY447" s="64" t="str">
        <f t="shared" ref="AY447:AY496" si="111">AZ447&amp;BA447</f>
        <v>Geslagen-3str.Polyester24</v>
      </c>
      <c r="AZ447" s="64" t="str">
        <f t="shared" si="110"/>
        <v>Geslagen-3str.Polyester</v>
      </c>
      <c r="BA447" s="19">
        <v>24</v>
      </c>
      <c r="BB447" s="328">
        <f>9.291*9.81</f>
        <v>91.144710000000003</v>
      </c>
      <c r="BC447" s="19"/>
    </row>
    <row r="448" spans="51:58" x14ac:dyDescent="0.25">
      <c r="AY448" s="64" t="str">
        <f t="shared" si="111"/>
        <v>Geslagen-3str.Polyester26</v>
      </c>
      <c r="AZ448" s="64" t="str">
        <f t="shared" si="110"/>
        <v>Geslagen-3str.Polyester</v>
      </c>
      <c r="BA448" s="19">
        <v>26</v>
      </c>
      <c r="BB448" s="356" t="s">
        <v>412</v>
      </c>
      <c r="BC448" s="19"/>
    </row>
    <row r="449" spans="51:58" x14ac:dyDescent="0.25">
      <c r="AY449" s="64" t="str">
        <f t="shared" si="111"/>
        <v>Geslagen-3str.Polyester28</v>
      </c>
      <c r="AZ449" s="64" t="str">
        <f t="shared" si="110"/>
        <v>Geslagen-3str.Polyester</v>
      </c>
      <c r="BA449" s="19">
        <v>28</v>
      </c>
      <c r="BB449" s="356" t="s">
        <v>412</v>
      </c>
      <c r="BC449" s="19"/>
    </row>
    <row r="450" spans="51:58" x14ac:dyDescent="0.25">
      <c r="AY450" s="65" t="str">
        <f t="shared" si="111"/>
        <v>Geslagen-3str.Polyester30</v>
      </c>
      <c r="AZ450" s="65" t="str">
        <f t="shared" si="110"/>
        <v>Geslagen-3str.Polyester</v>
      </c>
      <c r="BA450" s="379">
        <v>30</v>
      </c>
      <c r="BB450" s="357" t="s">
        <v>412</v>
      </c>
      <c r="BC450" s="379"/>
    </row>
    <row r="451" spans="51:58" x14ac:dyDescent="0.25">
      <c r="AY451" s="64" t="str">
        <f t="shared" si="111"/>
        <v>Geslagen-3str.Polypropyleen3</v>
      </c>
      <c r="AZ451" s="64" t="str">
        <f>AZ12&amp;AY11</f>
        <v>Geslagen-3str.Polypropyleen</v>
      </c>
      <c r="BA451" s="19">
        <v>3</v>
      </c>
      <c r="BB451" s="356" t="s">
        <v>412</v>
      </c>
      <c r="BC451" s="19"/>
    </row>
    <row r="452" spans="51:58" x14ac:dyDescent="0.25">
      <c r="AY452" s="64" t="str">
        <f t="shared" si="111"/>
        <v>Geslagen-3str.Polypropyleen4</v>
      </c>
      <c r="AZ452" s="64" t="str">
        <f>$AZ$451</f>
        <v>Geslagen-3str.Polypropyleen</v>
      </c>
      <c r="BA452" s="19">
        <v>4</v>
      </c>
      <c r="BB452" s="328">
        <f>9.81*233/1000</f>
        <v>2.28573</v>
      </c>
      <c r="BC452" s="19"/>
      <c r="BF452" s="316"/>
    </row>
    <row r="453" spans="51:58" x14ac:dyDescent="0.25">
      <c r="AY453" s="64" t="str">
        <f t="shared" si="111"/>
        <v>Geslagen-3str.Polypropyleen5</v>
      </c>
      <c r="AZ453" s="64" t="str">
        <f t="shared" ref="AZ453:AZ473" si="112">$AZ$451</f>
        <v>Geslagen-3str.Polypropyleen</v>
      </c>
      <c r="BA453" s="19">
        <v>5</v>
      </c>
      <c r="BB453" s="356" t="s">
        <v>412</v>
      </c>
      <c r="BC453" s="19"/>
    </row>
    <row r="454" spans="51:58" x14ac:dyDescent="0.25">
      <c r="AY454" s="64" t="str">
        <f t="shared" si="111"/>
        <v>Geslagen-3str.Polypropyleen6</v>
      </c>
      <c r="AZ454" s="64" t="str">
        <f t="shared" si="112"/>
        <v>Geslagen-3str.Polypropyleen</v>
      </c>
      <c r="BA454" s="19">
        <v>6</v>
      </c>
      <c r="BB454" s="328">
        <f>9.81*519/1000</f>
        <v>5.0913900000000005</v>
      </c>
      <c r="BC454" s="19"/>
    </row>
    <row r="455" spans="51:58" x14ac:dyDescent="0.25">
      <c r="AY455" s="64" t="str">
        <f t="shared" si="111"/>
        <v>Geslagen-3str.Polypropyleen7</v>
      </c>
      <c r="AZ455" s="64" t="str">
        <f t="shared" si="112"/>
        <v>Geslagen-3str.Polypropyleen</v>
      </c>
      <c r="BA455" s="19">
        <v>7</v>
      </c>
      <c r="BB455" s="356" t="s">
        <v>412</v>
      </c>
      <c r="BC455" s="19"/>
    </row>
    <row r="456" spans="51:58" x14ac:dyDescent="0.25">
      <c r="AY456" s="64" t="str">
        <f t="shared" si="111"/>
        <v>Geslagen-3str.Polypropyleen8</v>
      </c>
      <c r="AZ456" s="64" t="str">
        <f t="shared" si="112"/>
        <v>Geslagen-3str.Polypropyleen</v>
      </c>
      <c r="BA456" s="19">
        <v>8</v>
      </c>
      <c r="BB456" s="327">
        <f>0.965*9.81</f>
        <v>9.4666499999999996</v>
      </c>
      <c r="BC456" s="19"/>
    </row>
    <row r="457" spans="51:58" x14ac:dyDescent="0.25">
      <c r="AY457" s="64" t="str">
        <f t="shared" si="111"/>
        <v>Geslagen-3str.Polypropyleen9</v>
      </c>
      <c r="AZ457" s="64" t="str">
        <f t="shared" si="112"/>
        <v>Geslagen-3str.Polypropyleen</v>
      </c>
      <c r="BA457" s="19">
        <v>9</v>
      </c>
      <c r="BB457" s="356" t="s">
        <v>412</v>
      </c>
      <c r="BC457" s="19"/>
    </row>
    <row r="458" spans="51:58" x14ac:dyDescent="0.25">
      <c r="AY458" s="64" t="str">
        <f t="shared" si="111"/>
        <v>Geslagen-3str.Polypropyleen10</v>
      </c>
      <c r="AZ458" s="64" t="str">
        <f t="shared" si="112"/>
        <v>Geslagen-3str.Polypropyleen</v>
      </c>
      <c r="BA458" s="19">
        <v>10</v>
      </c>
      <c r="BB458" s="327">
        <f>1.418*9.81</f>
        <v>13.91058</v>
      </c>
      <c r="BC458" s="19"/>
    </row>
    <row r="459" spans="51:58" x14ac:dyDescent="0.25">
      <c r="AY459" s="64" t="str">
        <f t="shared" si="111"/>
        <v>Geslagen-3str.Polypropyleen11</v>
      </c>
      <c r="AZ459" s="64" t="str">
        <f t="shared" si="112"/>
        <v>Geslagen-3str.Polypropyleen</v>
      </c>
      <c r="BA459" s="19">
        <v>11</v>
      </c>
      <c r="BB459" s="356" t="s">
        <v>412</v>
      </c>
      <c r="BC459" s="19"/>
    </row>
    <row r="460" spans="51:58" x14ac:dyDescent="0.25">
      <c r="AY460" s="64" t="str">
        <f t="shared" si="111"/>
        <v>Geslagen-3str.Polypropyleen12</v>
      </c>
      <c r="AZ460" s="64" t="str">
        <f t="shared" si="112"/>
        <v>Geslagen-3str.Polypropyleen</v>
      </c>
      <c r="BA460" s="19">
        <v>12</v>
      </c>
      <c r="BB460" s="327">
        <f>1.925*9.81</f>
        <v>18.884250000000002</v>
      </c>
      <c r="BC460" s="19"/>
      <c r="BF460" s="328"/>
    </row>
    <row r="461" spans="51:58" x14ac:dyDescent="0.25">
      <c r="AY461" s="64" t="str">
        <f t="shared" si="111"/>
        <v>Geslagen-3str.Polypropyleen13</v>
      </c>
      <c r="AZ461" s="64" t="str">
        <f t="shared" si="112"/>
        <v>Geslagen-3str.Polypropyleen</v>
      </c>
      <c r="BA461" s="19">
        <v>13</v>
      </c>
      <c r="BB461" s="356" t="s">
        <v>412</v>
      </c>
      <c r="BC461" s="19"/>
    </row>
    <row r="462" spans="51:58" x14ac:dyDescent="0.25">
      <c r="AY462" s="64" t="str">
        <f t="shared" si="111"/>
        <v>Geslagen-3str.Polypropyleen14</v>
      </c>
      <c r="AZ462" s="64" t="str">
        <f t="shared" si="112"/>
        <v>Geslagen-3str.Polypropyleen</v>
      </c>
      <c r="BA462" s="19">
        <v>14</v>
      </c>
      <c r="BB462" s="327">
        <f>2.315*9.81</f>
        <v>22.710150000000002</v>
      </c>
      <c r="BC462" s="19"/>
    </row>
    <row r="463" spans="51:58" x14ac:dyDescent="0.25">
      <c r="AY463" s="64" t="str">
        <f t="shared" si="111"/>
        <v>Geslagen-3str.Polypropyleen15</v>
      </c>
      <c r="AZ463" s="64" t="str">
        <f t="shared" si="112"/>
        <v>Geslagen-3str.Polypropyleen</v>
      </c>
      <c r="BA463" s="19">
        <v>15</v>
      </c>
      <c r="BB463" s="356" t="s">
        <v>412</v>
      </c>
      <c r="BC463" s="19"/>
    </row>
    <row r="464" spans="51:58" x14ac:dyDescent="0.25">
      <c r="AY464" s="64" t="str">
        <f t="shared" si="111"/>
        <v>Geslagen-3str.Polypropyleen16</v>
      </c>
      <c r="AZ464" s="64" t="str">
        <f t="shared" si="112"/>
        <v>Geslagen-3str.Polypropyleen</v>
      </c>
      <c r="BA464" s="19">
        <v>16</v>
      </c>
      <c r="BB464" s="327">
        <f>2.692*9.81</f>
        <v>26.408520000000003</v>
      </c>
      <c r="BC464" s="19"/>
      <c r="BE464" s="310"/>
      <c r="BF464" s="328"/>
    </row>
    <row r="465" spans="50:58" x14ac:dyDescent="0.25">
      <c r="AY465" s="64" t="str">
        <f t="shared" si="111"/>
        <v>Geslagen-3str.Polypropyleen17</v>
      </c>
      <c r="AZ465" s="64" t="str">
        <f t="shared" si="112"/>
        <v>Geslagen-3str.Polypropyleen</v>
      </c>
      <c r="BA465" s="19">
        <v>17</v>
      </c>
      <c r="BB465" s="356" t="s">
        <v>412</v>
      </c>
      <c r="BC465" s="19"/>
    </row>
    <row r="466" spans="50:58" x14ac:dyDescent="0.25">
      <c r="AY466" s="64" t="str">
        <f t="shared" si="111"/>
        <v>Geslagen-3str.Polypropyleen18</v>
      </c>
      <c r="AZ466" s="64" t="str">
        <f t="shared" si="112"/>
        <v>Geslagen-3str.Polypropyleen</v>
      </c>
      <c r="BA466" s="19">
        <v>18</v>
      </c>
      <c r="BB466" s="327">
        <f>3.538*9.81</f>
        <v>34.70778</v>
      </c>
      <c r="BC466" s="19"/>
      <c r="BF466" s="328"/>
    </row>
    <row r="467" spans="50:58" x14ac:dyDescent="0.25">
      <c r="AY467" s="64" t="str">
        <f t="shared" si="111"/>
        <v>Geslagen-3str.Polypropyleen19</v>
      </c>
      <c r="AZ467" s="64" t="str">
        <f t="shared" si="112"/>
        <v>Geslagen-3str.Polypropyleen</v>
      </c>
      <c r="BA467" s="19">
        <v>19</v>
      </c>
      <c r="BB467" s="356" t="s">
        <v>412</v>
      </c>
      <c r="BC467" s="19"/>
      <c r="BF467" s="328"/>
    </row>
    <row r="468" spans="50:58" x14ac:dyDescent="0.25">
      <c r="AY468" s="64" t="str">
        <f t="shared" si="111"/>
        <v>Geslagen-3str.Polypropyleen20</v>
      </c>
      <c r="AZ468" s="64" t="str">
        <f t="shared" si="112"/>
        <v>Geslagen-3str.Polypropyleen</v>
      </c>
      <c r="BA468" s="19">
        <v>20</v>
      </c>
      <c r="BB468" s="328">
        <f>4.037*9.81</f>
        <v>39.602969999999999</v>
      </c>
      <c r="BC468" s="19"/>
    </row>
    <row r="469" spans="50:58" x14ac:dyDescent="0.25">
      <c r="AY469" s="64" t="str">
        <f t="shared" si="111"/>
        <v>Geslagen-3str.Polypropyleen22</v>
      </c>
      <c r="AZ469" s="64" t="str">
        <f t="shared" si="112"/>
        <v>Geslagen-3str.Polypropyleen</v>
      </c>
      <c r="BA469" s="19">
        <v>22</v>
      </c>
      <c r="BB469" s="328">
        <f>4.5*9.81</f>
        <v>44.145000000000003</v>
      </c>
      <c r="BC469" s="19"/>
    </row>
    <row r="470" spans="50:58" x14ac:dyDescent="0.25">
      <c r="AY470" s="64" t="str">
        <f t="shared" si="111"/>
        <v>Geslagen-3str.Polypropyleen24</v>
      </c>
      <c r="AZ470" s="64" t="str">
        <f t="shared" si="112"/>
        <v>Geslagen-3str.Polypropyleen</v>
      </c>
      <c r="BA470" s="19">
        <v>24</v>
      </c>
      <c r="BB470" s="328">
        <f>5.579*9.81</f>
        <v>54.729990000000001</v>
      </c>
      <c r="BC470" s="19"/>
    </row>
    <row r="471" spans="50:58" x14ac:dyDescent="0.25">
      <c r="AY471" s="64" t="str">
        <f t="shared" si="111"/>
        <v>Geslagen-3str.Polypropyleen26</v>
      </c>
      <c r="AZ471" s="64" t="str">
        <f t="shared" si="112"/>
        <v>Geslagen-3str.Polypropyleen</v>
      </c>
      <c r="BA471" s="19">
        <v>26</v>
      </c>
      <c r="BB471" s="356" t="s">
        <v>412</v>
      </c>
      <c r="BC471" s="19"/>
    </row>
    <row r="472" spans="50:58" x14ac:dyDescent="0.25">
      <c r="AY472" s="64" t="str">
        <f t="shared" si="111"/>
        <v>Geslagen-3str.Polypropyleen28</v>
      </c>
      <c r="AZ472" s="64" t="str">
        <f t="shared" si="112"/>
        <v>Geslagen-3str.Polypropyleen</v>
      </c>
      <c r="BA472" s="19">
        <v>28</v>
      </c>
      <c r="BB472" s="328">
        <f>6.3*9.81</f>
        <v>61.803000000000004</v>
      </c>
      <c r="BC472" s="19"/>
    </row>
    <row r="473" spans="50:58" x14ac:dyDescent="0.25">
      <c r="AY473" s="65" t="str">
        <f t="shared" si="111"/>
        <v>Geslagen-3str.Polypropyleen30</v>
      </c>
      <c r="AZ473" s="65" t="str">
        <f t="shared" si="112"/>
        <v>Geslagen-3str.Polypropyleen</v>
      </c>
      <c r="BA473" s="379">
        <v>30</v>
      </c>
      <c r="BB473" s="357" t="s">
        <v>412</v>
      </c>
      <c r="BC473" s="379"/>
    </row>
    <row r="474" spans="50:58" x14ac:dyDescent="0.25">
      <c r="AX474" s="46" t="s">
        <v>882</v>
      </c>
      <c r="AY474" s="64" t="str">
        <f t="shared" si="111"/>
        <v>Geslagen-3str.Hempex3</v>
      </c>
      <c r="AZ474" s="64" t="str">
        <f>AZ12&amp;AY12</f>
        <v>Geslagen-3str.Hempex</v>
      </c>
      <c r="BA474" s="19">
        <v>3</v>
      </c>
      <c r="BB474" s="356" t="s">
        <v>412</v>
      </c>
      <c r="BC474" s="19"/>
    </row>
    <row r="475" spans="50:58" x14ac:dyDescent="0.25">
      <c r="AY475" s="64" t="str">
        <f t="shared" si="111"/>
        <v>Geslagen-3str.Hempex4</v>
      </c>
      <c r="AZ475" s="64" t="str">
        <f>$AZ$474</f>
        <v>Geslagen-3str.Hempex</v>
      </c>
      <c r="BA475" s="19">
        <v>4</v>
      </c>
      <c r="BB475" s="356">
        <f>0.233*9.81</f>
        <v>2.28573</v>
      </c>
      <c r="BC475" s="19"/>
    </row>
    <row r="476" spans="50:58" x14ac:dyDescent="0.25">
      <c r="AY476" s="64" t="str">
        <f t="shared" si="111"/>
        <v>Geslagen-3str.Hempex5</v>
      </c>
      <c r="AZ476" s="64" t="str">
        <f t="shared" ref="AZ476:AZ496" si="113">$AZ$474</f>
        <v>Geslagen-3str.Hempex</v>
      </c>
      <c r="BA476" s="19">
        <v>5</v>
      </c>
      <c r="BB476" s="356" t="s">
        <v>412</v>
      </c>
      <c r="BC476" s="19"/>
    </row>
    <row r="477" spans="50:58" x14ac:dyDescent="0.25">
      <c r="AY477" s="64" t="str">
        <f t="shared" si="111"/>
        <v>Geslagen-3str.Hempex6</v>
      </c>
      <c r="AZ477" s="64" t="str">
        <f t="shared" si="113"/>
        <v>Geslagen-3str.Hempex</v>
      </c>
      <c r="BA477" s="19">
        <v>6</v>
      </c>
      <c r="BB477" s="356">
        <f>0.519*9.81</f>
        <v>5.0913900000000005</v>
      </c>
      <c r="BC477" s="19"/>
    </row>
    <row r="478" spans="50:58" x14ac:dyDescent="0.25">
      <c r="AY478" s="64" t="str">
        <f t="shared" si="111"/>
        <v>Geslagen-3str.Hempex7</v>
      </c>
      <c r="AZ478" s="64" t="str">
        <f t="shared" si="113"/>
        <v>Geslagen-3str.Hempex</v>
      </c>
      <c r="BA478" s="19">
        <v>7</v>
      </c>
      <c r="BB478" s="356" t="s">
        <v>412</v>
      </c>
      <c r="BC478" s="19"/>
    </row>
    <row r="479" spans="50:58" x14ac:dyDescent="0.25">
      <c r="AY479" s="64" t="str">
        <f t="shared" si="111"/>
        <v>Geslagen-3str.Hempex8</v>
      </c>
      <c r="AZ479" s="64" t="str">
        <f t="shared" si="113"/>
        <v>Geslagen-3str.Hempex</v>
      </c>
      <c r="BA479" s="19">
        <v>8</v>
      </c>
      <c r="BB479" s="356">
        <f>0.965*9.81</f>
        <v>9.4666499999999996</v>
      </c>
      <c r="BC479" s="19"/>
    </row>
    <row r="480" spans="50:58" x14ac:dyDescent="0.25">
      <c r="AY480" s="64" t="str">
        <f t="shared" si="111"/>
        <v>Geslagen-3str.Hempex9</v>
      </c>
      <c r="AZ480" s="64" t="str">
        <f t="shared" si="113"/>
        <v>Geslagen-3str.Hempex</v>
      </c>
      <c r="BA480" s="19">
        <v>9</v>
      </c>
      <c r="BB480" s="356" t="s">
        <v>412</v>
      </c>
      <c r="BC480" s="19"/>
    </row>
    <row r="481" spans="51:55" x14ac:dyDescent="0.25">
      <c r="AY481" s="64" t="str">
        <f t="shared" si="111"/>
        <v>Geslagen-3str.Hempex10</v>
      </c>
      <c r="AZ481" s="64" t="str">
        <f t="shared" si="113"/>
        <v>Geslagen-3str.Hempex</v>
      </c>
      <c r="BA481" s="19">
        <v>10</v>
      </c>
      <c r="BB481" s="356">
        <f>1.418*9.81</f>
        <v>13.91058</v>
      </c>
      <c r="BC481" s="19"/>
    </row>
    <row r="482" spans="51:55" x14ac:dyDescent="0.25">
      <c r="AY482" s="64" t="str">
        <f t="shared" si="111"/>
        <v>Geslagen-3str.Hempex11</v>
      </c>
      <c r="AZ482" s="64" t="str">
        <f t="shared" si="113"/>
        <v>Geslagen-3str.Hempex</v>
      </c>
      <c r="BA482" s="19">
        <v>11</v>
      </c>
      <c r="BB482" s="356" t="s">
        <v>412</v>
      </c>
      <c r="BC482" s="19"/>
    </row>
    <row r="483" spans="51:55" x14ac:dyDescent="0.25">
      <c r="AY483" s="64" t="str">
        <f t="shared" si="111"/>
        <v>Geslagen-3str.Hempex12</v>
      </c>
      <c r="AZ483" s="64" t="str">
        <f t="shared" si="113"/>
        <v>Geslagen-3str.Hempex</v>
      </c>
      <c r="BA483" s="19">
        <v>12</v>
      </c>
      <c r="BB483" s="356">
        <f>1.953*9.81</f>
        <v>19.158930000000002</v>
      </c>
      <c r="BC483" s="19"/>
    </row>
    <row r="484" spans="51:55" x14ac:dyDescent="0.25">
      <c r="AY484" s="64" t="str">
        <f t="shared" si="111"/>
        <v>Geslagen-3str.Hempex13</v>
      </c>
      <c r="AZ484" s="64" t="str">
        <f t="shared" si="113"/>
        <v>Geslagen-3str.Hempex</v>
      </c>
      <c r="BA484" s="19">
        <v>13</v>
      </c>
      <c r="BB484" s="356" t="s">
        <v>412</v>
      </c>
      <c r="BC484" s="19"/>
    </row>
    <row r="485" spans="51:55" x14ac:dyDescent="0.25">
      <c r="AY485" s="64" t="str">
        <f t="shared" si="111"/>
        <v>Geslagen-3str.Hempex14</v>
      </c>
      <c r="AZ485" s="64" t="str">
        <f t="shared" si="113"/>
        <v>Geslagen-3str.Hempex</v>
      </c>
      <c r="BA485" s="19">
        <v>14</v>
      </c>
      <c r="BB485" s="356">
        <f>2.541*9.81</f>
        <v>24.927209999999999</v>
      </c>
      <c r="BC485" s="19"/>
    </row>
    <row r="486" spans="51:55" x14ac:dyDescent="0.25">
      <c r="AY486" s="64" t="str">
        <f t="shared" si="111"/>
        <v>Geslagen-3str.Hempex15</v>
      </c>
      <c r="AZ486" s="64" t="str">
        <f t="shared" si="113"/>
        <v>Geslagen-3str.Hempex</v>
      </c>
      <c r="BA486" s="19">
        <v>15</v>
      </c>
      <c r="BB486" s="356" t="s">
        <v>412</v>
      </c>
      <c r="BC486" s="19"/>
    </row>
    <row r="487" spans="51:55" x14ac:dyDescent="0.25">
      <c r="AY487" s="64" t="str">
        <f t="shared" si="111"/>
        <v>Geslagen-3str.Hempex16</v>
      </c>
      <c r="AZ487" s="64" t="str">
        <f t="shared" si="113"/>
        <v>Geslagen-3str.Hempex</v>
      </c>
      <c r="BA487" s="19">
        <v>16</v>
      </c>
      <c r="BB487" s="356">
        <f>2.96*9.81</f>
        <v>29.037600000000001</v>
      </c>
      <c r="BC487" s="19"/>
    </row>
    <row r="488" spans="51:55" x14ac:dyDescent="0.25">
      <c r="AY488" s="64" t="str">
        <f t="shared" si="111"/>
        <v>Geslagen-3str.Hempex17</v>
      </c>
      <c r="AZ488" s="64" t="str">
        <f t="shared" si="113"/>
        <v>Geslagen-3str.Hempex</v>
      </c>
      <c r="BA488" s="19">
        <v>17</v>
      </c>
      <c r="BB488" s="356" t="s">
        <v>412</v>
      </c>
      <c r="BC488" s="19"/>
    </row>
    <row r="489" spans="51:55" x14ac:dyDescent="0.25">
      <c r="AY489" s="64" t="str">
        <f t="shared" si="111"/>
        <v>Geslagen-3str.Hempex18</v>
      </c>
      <c r="AZ489" s="64" t="str">
        <f t="shared" si="113"/>
        <v>Geslagen-3str.Hempex</v>
      </c>
      <c r="BA489" s="19">
        <v>18</v>
      </c>
      <c r="BB489" s="356">
        <f>3.54*9.81</f>
        <v>34.727400000000003</v>
      </c>
      <c r="BC489" s="19"/>
    </row>
    <row r="490" spans="51:55" x14ac:dyDescent="0.25">
      <c r="AY490" s="64" t="str">
        <f t="shared" si="111"/>
        <v>Geslagen-3str.Hempex19</v>
      </c>
      <c r="AZ490" s="64" t="str">
        <f t="shared" si="113"/>
        <v>Geslagen-3str.Hempex</v>
      </c>
      <c r="BA490" s="19">
        <v>19</v>
      </c>
      <c r="BB490" s="356" t="s">
        <v>412</v>
      </c>
      <c r="BC490" s="19"/>
    </row>
    <row r="491" spans="51:55" x14ac:dyDescent="0.25">
      <c r="AY491" s="64" t="str">
        <f t="shared" si="111"/>
        <v>Geslagen-3str.Hempex20</v>
      </c>
      <c r="AZ491" s="64" t="str">
        <f t="shared" si="113"/>
        <v>Geslagen-3str.Hempex</v>
      </c>
      <c r="BA491" s="19">
        <v>20</v>
      </c>
      <c r="BB491" s="356">
        <f>3.983*9.81</f>
        <v>39.073230000000002</v>
      </c>
      <c r="BC491" s="19"/>
    </row>
    <row r="492" spans="51:55" x14ac:dyDescent="0.25">
      <c r="AY492" s="64" t="str">
        <f t="shared" si="111"/>
        <v>Geslagen-3str.Hempex22</v>
      </c>
      <c r="AZ492" s="64" t="str">
        <f t="shared" si="113"/>
        <v>Geslagen-3str.Hempex</v>
      </c>
      <c r="BA492" s="19">
        <v>22</v>
      </c>
      <c r="BB492" s="356">
        <f>4.774*9.81</f>
        <v>46.832940000000001</v>
      </c>
      <c r="BC492" s="19"/>
    </row>
    <row r="493" spans="51:55" x14ac:dyDescent="0.25">
      <c r="AY493" s="64" t="str">
        <f t="shared" si="111"/>
        <v>Geslagen-3str.Hempex24</v>
      </c>
      <c r="AZ493" s="64" t="str">
        <f t="shared" si="113"/>
        <v>Geslagen-3str.Hempex</v>
      </c>
      <c r="BA493" s="19">
        <v>24</v>
      </c>
      <c r="BB493" s="356">
        <f>5.579*9.81</f>
        <v>54.729990000000001</v>
      </c>
      <c r="BC493" s="19"/>
    </row>
    <row r="494" spans="51:55" x14ac:dyDescent="0.25">
      <c r="AY494" s="64" t="str">
        <f t="shared" si="111"/>
        <v>Geslagen-3str.Hempex26</v>
      </c>
      <c r="AZ494" s="64" t="str">
        <f t="shared" si="113"/>
        <v>Geslagen-3str.Hempex</v>
      </c>
      <c r="BA494" s="19">
        <v>26</v>
      </c>
      <c r="BB494" s="356">
        <f>6.454*9.91</f>
        <v>63.959139999999998</v>
      </c>
      <c r="BC494" s="19"/>
    </row>
    <row r="495" spans="51:55" x14ac:dyDescent="0.25">
      <c r="AY495" s="64" t="str">
        <f t="shared" si="111"/>
        <v>Geslagen-3str.Hempex28</v>
      </c>
      <c r="AZ495" s="64" t="str">
        <f t="shared" si="113"/>
        <v>Geslagen-3str.Hempex</v>
      </c>
      <c r="BA495" s="19">
        <v>28</v>
      </c>
      <c r="BB495" s="356">
        <f>7.35*9.81</f>
        <v>72.103499999999997</v>
      </c>
      <c r="BC495" s="19"/>
    </row>
    <row r="496" spans="51:55" x14ac:dyDescent="0.25">
      <c r="AY496" s="64" t="str">
        <f t="shared" si="111"/>
        <v>Geslagen-3str.Hempex30</v>
      </c>
      <c r="AZ496" s="64" t="str">
        <f t="shared" si="113"/>
        <v>Geslagen-3str.Hempex</v>
      </c>
      <c r="BA496" s="379">
        <v>30</v>
      </c>
      <c r="BB496" s="356">
        <f>8.4*9.81</f>
        <v>82.404000000000011</v>
      </c>
      <c r="BC496" s="19"/>
    </row>
    <row r="497" spans="51:54" x14ac:dyDescent="0.25">
      <c r="AY497" s="65" t="str">
        <f>AZ497&amp;BA497</f>
        <v>-</v>
      </c>
      <c r="AZ497" s="93" t="s">
        <v>412</v>
      </c>
      <c r="BB497" s="19">
        <v>0</v>
      </c>
    </row>
  </sheetData>
  <mergeCells count="3">
    <mergeCell ref="J3:M3"/>
    <mergeCell ref="Y3:AB3"/>
    <mergeCell ref="AU3:AX3"/>
  </mergeCells>
  <hyperlinks>
    <hyperlink ref="F1" location="Schip!A1" display="Schip!A1" xr:uid="{00000000-0004-0000-0B00-000000000000}"/>
    <hyperlink ref="Z1" location="Gebruiksaanwijzing!A86" display="Gebruiksaanwijzing!A86" xr:uid="{00000000-0004-0000-0B00-000001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BS11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38.140625" customWidth="1"/>
    <col min="2" max="2" width="25.5703125" style="19" customWidth="1"/>
    <col min="3" max="3" width="25.5703125" customWidth="1"/>
    <col min="4" max="4" width="15.140625" customWidth="1"/>
    <col min="5" max="12" width="25.5703125" customWidth="1"/>
  </cols>
  <sheetData>
    <row r="1" spans="1:71" s="3" customFormat="1" ht="28.5" x14ac:dyDescent="0.45">
      <c r="A1" s="61" t="s">
        <v>710</v>
      </c>
      <c r="B1" s="3" t="s">
        <v>594</v>
      </c>
      <c r="C1" s="289" t="s">
        <v>573</v>
      </c>
      <c r="D1" s="3" t="s">
        <v>711</v>
      </c>
      <c r="E1" s="49"/>
      <c r="F1" s="427" t="s">
        <v>584</v>
      </c>
      <c r="J1" s="49"/>
      <c r="L1" s="49"/>
      <c r="M1" s="49"/>
      <c r="U1" s="91"/>
      <c r="V1" s="49"/>
      <c r="W1" s="91"/>
      <c r="X1" s="49"/>
      <c r="Y1" s="49"/>
      <c r="Z1" s="49"/>
      <c r="AA1" s="49"/>
      <c r="AB1" s="49"/>
      <c r="AC1" s="91"/>
      <c r="AE1" s="49"/>
      <c r="AF1" s="49"/>
      <c r="AG1" s="91"/>
      <c r="AI1" s="91"/>
      <c r="AK1" s="49"/>
      <c r="AL1" s="49"/>
      <c r="AM1" s="91"/>
      <c r="AP1" s="49"/>
      <c r="AS1" s="50"/>
      <c r="AU1" s="50"/>
      <c r="AV1" s="50"/>
      <c r="AW1" s="50"/>
      <c r="AX1" s="50"/>
      <c r="AY1" s="91"/>
      <c r="BA1" s="338"/>
      <c r="BB1" s="49"/>
      <c r="BC1" s="49"/>
      <c r="BD1" s="91"/>
      <c r="BF1" s="91"/>
      <c r="BM1" s="49"/>
      <c r="BN1" s="49"/>
      <c r="BO1" s="49"/>
      <c r="BP1" s="49"/>
      <c r="BQ1" s="49"/>
      <c r="BR1" s="49"/>
      <c r="BS1" s="49"/>
    </row>
    <row r="2" spans="1:71" ht="45" customHeight="1" x14ac:dyDescent="0.35">
      <c r="A2" s="430" t="s">
        <v>712</v>
      </c>
      <c r="C2" s="430" t="s">
        <v>750</v>
      </c>
      <c r="E2" s="430" t="s">
        <v>760</v>
      </c>
    </row>
    <row r="3" spans="1:71" ht="50.1" customHeight="1" x14ac:dyDescent="0.25">
      <c r="A3" s="426" t="s">
        <v>663</v>
      </c>
      <c r="B3" s="426" t="s">
        <v>141</v>
      </c>
      <c r="C3" s="426" t="s">
        <v>759</v>
      </c>
      <c r="D3" s="1"/>
      <c r="E3" s="426" t="s">
        <v>331</v>
      </c>
      <c r="F3" s="1"/>
    </row>
    <row r="4" spans="1:71" ht="50.1" customHeight="1" x14ac:dyDescent="0.25">
      <c r="A4" s="426" t="s">
        <v>119</v>
      </c>
      <c r="B4" s="426" t="s">
        <v>142</v>
      </c>
      <c r="C4" s="426" t="s">
        <v>115</v>
      </c>
      <c r="D4" s="1"/>
      <c r="E4" s="426" t="s">
        <v>761</v>
      </c>
      <c r="F4" s="1"/>
    </row>
    <row r="5" spans="1:71" ht="50.1" customHeight="1" x14ac:dyDescent="0.25">
      <c r="A5" s="426" t="s">
        <v>670</v>
      </c>
      <c r="B5" s="426" t="s">
        <v>143</v>
      </c>
      <c r="C5" s="426" t="s">
        <v>116</v>
      </c>
      <c r="D5" s="1"/>
      <c r="E5" s="426"/>
      <c r="F5" s="1"/>
    </row>
    <row r="6" spans="1:71" ht="50.1" customHeight="1" x14ac:dyDescent="0.25">
      <c r="A6" s="426" t="s">
        <v>671</v>
      </c>
      <c r="B6" s="426" t="s">
        <v>144</v>
      </c>
      <c r="C6" s="426" t="s">
        <v>117</v>
      </c>
      <c r="D6" s="1"/>
      <c r="E6" s="426"/>
      <c r="F6" s="1"/>
    </row>
    <row r="7" spans="1:71" ht="50.1" customHeight="1" x14ac:dyDescent="0.5">
      <c r="A7" s="426" t="s">
        <v>665</v>
      </c>
      <c r="B7" s="426" t="s">
        <v>666</v>
      </c>
      <c r="C7" s="426" t="s">
        <v>775</v>
      </c>
      <c r="D7" s="1"/>
      <c r="E7" s="430" t="s">
        <v>849</v>
      </c>
      <c r="F7" s="1"/>
    </row>
    <row r="8" spans="1:71" ht="50.1" customHeight="1" x14ac:dyDescent="0.25">
      <c r="A8" s="426" t="s">
        <v>664</v>
      </c>
      <c r="B8" s="426" t="s">
        <v>704</v>
      </c>
      <c r="C8" s="426" t="s">
        <v>778</v>
      </c>
      <c r="D8" s="1"/>
      <c r="E8" s="1"/>
      <c r="F8" s="1"/>
    </row>
    <row r="9" spans="1:71" ht="50.1" customHeight="1" x14ac:dyDescent="0.25">
      <c r="A9" s="426" t="s">
        <v>118</v>
      </c>
      <c r="B9" s="426" t="s">
        <v>705</v>
      </c>
      <c r="C9" s="1"/>
      <c r="D9" s="1"/>
      <c r="E9" s="1"/>
      <c r="F9" s="1"/>
    </row>
    <row r="10" spans="1:71" ht="50.1" customHeight="1" x14ac:dyDescent="0.25">
      <c r="A10" s="426" t="s">
        <v>674</v>
      </c>
      <c r="B10" s="426" t="s">
        <v>706</v>
      </c>
      <c r="C10" s="1"/>
      <c r="D10" s="1"/>
      <c r="E10" s="1"/>
      <c r="F10" s="1"/>
    </row>
    <row r="11" spans="1:71" ht="50.1" customHeight="1" x14ac:dyDescent="0.25">
      <c r="A11" s="426" t="s">
        <v>678</v>
      </c>
      <c r="B11" s="426" t="s">
        <v>707</v>
      </c>
      <c r="C11" s="1"/>
      <c r="D11" s="1"/>
      <c r="E11" s="1"/>
      <c r="F11" s="1"/>
    </row>
  </sheetData>
  <dataValidations disablePrompts="1" count="1">
    <dataValidation type="list" allowBlank="1" showInputMessage="1" showErrorMessage="1" sqref="D2" xr:uid="{00000000-0002-0000-0C00-000000000000}">
      <formula1>$A$2:$A$11</formula1>
    </dataValidation>
  </dataValidations>
  <hyperlinks>
    <hyperlink ref="C1" location="Schip!A1" display="Schip!A1" xr:uid="{00000000-0004-0000-0C00-000000000000}"/>
    <hyperlink ref="F1" location="Gebruiksaanwijzing!A1" display="Gebruiksaanwijzing!A1" xr:uid="{00000000-0004-0000-0C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P16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2.85546875" customWidth="1"/>
    <col min="2" max="2" width="20" customWidth="1"/>
    <col min="3" max="3" width="17.5703125" customWidth="1"/>
    <col min="4" max="4" width="14.85546875" customWidth="1"/>
    <col min="5" max="5" width="12.5703125" customWidth="1"/>
    <col min="6" max="6" width="11.42578125" customWidth="1"/>
    <col min="7" max="7" width="11.140625" customWidth="1"/>
    <col min="8" max="8" width="11.5703125" customWidth="1"/>
    <col min="9" max="9" width="19.5703125" customWidth="1"/>
    <col min="10" max="10" width="12.85546875" customWidth="1"/>
    <col min="11" max="11" width="13.5703125" customWidth="1"/>
    <col min="12" max="12" width="17.85546875" customWidth="1"/>
    <col min="14" max="14" width="19.5703125" customWidth="1"/>
    <col min="16" max="16" width="16" customWidth="1"/>
  </cols>
  <sheetData>
    <row r="1" spans="1:16" ht="26.25" x14ac:dyDescent="0.4">
      <c r="A1" s="57" t="s">
        <v>277</v>
      </c>
      <c r="E1" s="3" t="s">
        <v>594</v>
      </c>
      <c r="F1" s="49"/>
      <c r="G1" s="289" t="s">
        <v>573</v>
      </c>
      <c r="H1" s="3"/>
    </row>
    <row r="2" spans="1:16" x14ac:dyDescent="0.25">
      <c r="E2" s="3" t="s">
        <v>647</v>
      </c>
      <c r="F2" s="3"/>
      <c r="G2" s="289" t="s">
        <v>648</v>
      </c>
      <c r="H2" s="3"/>
    </row>
    <row r="3" spans="1:16" ht="18.75" x14ac:dyDescent="0.3">
      <c r="A3" s="56" t="s">
        <v>278</v>
      </c>
    </row>
    <row r="4" spans="1:16" ht="18.75" x14ac:dyDescent="0.3">
      <c r="A4" s="56" t="s">
        <v>597</v>
      </c>
    </row>
    <row r="5" spans="1:16" ht="23.25" x14ac:dyDescent="0.35">
      <c r="A5" s="573" t="s">
        <v>884</v>
      </c>
      <c r="B5" s="572"/>
      <c r="C5" s="572"/>
      <c r="D5" s="572"/>
      <c r="E5" s="572"/>
      <c r="F5" s="572"/>
      <c r="G5" s="572"/>
      <c r="H5" s="572"/>
      <c r="I5" s="572"/>
      <c r="J5" s="572"/>
      <c r="K5" s="573"/>
      <c r="L5" s="573"/>
    </row>
    <row r="6" spans="1:16" ht="18.75" x14ac:dyDescent="0.3">
      <c r="A6" s="572"/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</row>
    <row r="7" spans="1:16" ht="18.75" x14ac:dyDescent="0.3">
      <c r="A7" s="56" t="s">
        <v>596</v>
      </c>
      <c r="B7" s="296">
        <f ca="1">TODAY()</f>
        <v>45306</v>
      </c>
    </row>
    <row r="9" spans="1:16" x14ac:dyDescent="0.25">
      <c r="A9" s="7" t="s">
        <v>279</v>
      </c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</row>
    <row r="10" spans="1:16" x14ac:dyDescent="0.25">
      <c r="A10" s="10" t="s">
        <v>308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25">
      <c r="A11" t="s">
        <v>869</v>
      </c>
    </row>
    <row r="12" spans="1:16" x14ac:dyDescent="0.25">
      <c r="A12" t="s">
        <v>870</v>
      </c>
    </row>
    <row r="14" spans="1:16" x14ac:dyDescent="0.25">
      <c r="A14" t="s">
        <v>281</v>
      </c>
    </row>
    <row r="15" spans="1:16" ht="15.95" customHeight="1" x14ac:dyDescent="0.25">
      <c r="B15" s="58" t="s">
        <v>280</v>
      </c>
      <c r="C15" s="3"/>
      <c r="D15" s="3"/>
      <c r="E15" s="289"/>
      <c r="F15" s="3"/>
      <c r="G15" s="3"/>
      <c r="H15" s="3"/>
      <c r="I15" s="558"/>
      <c r="J15" s="559"/>
      <c r="K15" s="558"/>
      <c r="L15" s="558"/>
      <c r="M15" s="558"/>
      <c r="N15" s="558"/>
      <c r="O15" s="558"/>
      <c r="P15" s="558"/>
    </row>
    <row r="16" spans="1:16" ht="15.95" customHeight="1" x14ac:dyDescent="0.25">
      <c r="B16" s="304" t="s">
        <v>277</v>
      </c>
      <c r="C16" s="303"/>
      <c r="D16" s="303"/>
      <c r="E16" s="303"/>
      <c r="F16" s="303"/>
      <c r="G16" s="303"/>
      <c r="H16" s="303"/>
      <c r="I16" s="560"/>
      <c r="J16" s="560"/>
      <c r="K16" s="560"/>
      <c r="L16" s="560"/>
      <c r="M16" s="560"/>
      <c r="N16" s="560"/>
      <c r="O16" s="560"/>
      <c r="P16" s="560"/>
    </row>
    <row r="17" spans="1:16" ht="15.95" customHeight="1" x14ac:dyDescent="0.25">
      <c r="B17" s="445" t="s">
        <v>687</v>
      </c>
      <c r="C17" s="446"/>
      <c r="D17" s="446"/>
      <c r="E17" s="446"/>
      <c r="F17" s="446"/>
      <c r="G17" s="446"/>
      <c r="H17" s="446"/>
      <c r="I17" s="561"/>
      <c r="J17" s="561"/>
      <c r="K17" s="561"/>
      <c r="L17" s="561"/>
      <c r="M17" s="561"/>
      <c r="N17" s="561"/>
      <c r="O17" s="561"/>
      <c r="P17" s="561"/>
    </row>
    <row r="18" spans="1:16" ht="15.95" customHeight="1" x14ac:dyDescent="0.35">
      <c r="B18" s="54" t="s">
        <v>72</v>
      </c>
      <c r="C18" s="55"/>
      <c r="D18" s="55"/>
      <c r="E18" s="301"/>
      <c r="F18" s="55"/>
      <c r="G18" s="55"/>
      <c r="H18" s="55"/>
      <c r="I18" s="562"/>
      <c r="J18" s="563"/>
      <c r="K18" s="564"/>
      <c r="L18" s="564"/>
      <c r="M18" s="564"/>
      <c r="N18" s="564"/>
      <c r="O18" s="564"/>
      <c r="P18" s="564"/>
    </row>
    <row r="19" spans="1:16" ht="15.95" customHeight="1" x14ac:dyDescent="0.35">
      <c r="B19" s="54" t="s">
        <v>598</v>
      </c>
      <c r="C19" s="55"/>
      <c r="D19" s="55"/>
      <c r="E19" s="301"/>
      <c r="F19" s="55"/>
      <c r="G19" s="55"/>
      <c r="H19" s="55"/>
      <c r="I19" s="562"/>
      <c r="J19" s="564"/>
      <c r="K19" s="564"/>
      <c r="L19" s="564"/>
      <c r="M19" s="564"/>
      <c r="N19" s="564"/>
      <c r="O19" s="564"/>
      <c r="P19" s="564"/>
    </row>
    <row r="20" spans="1:16" ht="15.75" x14ac:dyDescent="0.25">
      <c r="B20" s="53" t="s">
        <v>97</v>
      </c>
      <c r="C20" s="53"/>
      <c r="D20" s="53"/>
      <c r="E20" s="302"/>
      <c r="F20" s="53"/>
      <c r="G20" s="53"/>
      <c r="H20" s="567"/>
      <c r="I20" s="565"/>
      <c r="J20" s="566"/>
      <c r="K20" s="567"/>
      <c r="L20" s="567"/>
      <c r="M20" s="567"/>
      <c r="N20" s="567"/>
      <c r="O20" s="567"/>
      <c r="P20" s="567"/>
    </row>
    <row r="21" spans="1:16" ht="15.75" x14ac:dyDescent="0.25">
      <c r="B21" s="53" t="s">
        <v>599</v>
      </c>
      <c r="C21" s="53"/>
      <c r="D21" s="53"/>
      <c r="E21" s="302"/>
      <c r="F21" s="53"/>
      <c r="G21" s="53"/>
      <c r="H21" s="53"/>
      <c r="I21" s="565"/>
      <c r="J21" s="567"/>
      <c r="K21" s="567"/>
      <c r="L21" s="567"/>
      <c r="M21" s="567"/>
      <c r="N21" s="567"/>
      <c r="O21" s="567"/>
      <c r="P21" s="567"/>
    </row>
    <row r="22" spans="1:16" ht="15.75" x14ac:dyDescent="0.25">
      <c r="B22" s="297" t="s">
        <v>128</v>
      </c>
      <c r="C22" s="81"/>
      <c r="D22" s="81"/>
      <c r="E22" s="442"/>
      <c r="F22" s="81"/>
      <c r="G22" s="81"/>
      <c r="H22" s="81"/>
      <c r="I22" s="568"/>
      <c r="J22" s="569"/>
      <c r="K22" s="569"/>
      <c r="L22" s="569"/>
      <c r="M22" s="569"/>
      <c r="N22" s="569"/>
      <c r="O22" s="569"/>
      <c r="P22" s="569"/>
    </row>
    <row r="23" spans="1:16" ht="15.75" x14ac:dyDescent="0.25">
      <c r="B23" s="297" t="s">
        <v>600</v>
      </c>
      <c r="C23" s="81"/>
      <c r="D23" s="81"/>
      <c r="E23" s="442"/>
      <c r="F23" s="81"/>
      <c r="G23" s="81"/>
      <c r="H23" s="81"/>
      <c r="I23" s="568"/>
      <c r="J23" s="569"/>
      <c r="K23" s="569"/>
      <c r="L23" s="569"/>
      <c r="M23" s="569"/>
      <c r="N23" s="569"/>
      <c r="O23" s="569"/>
      <c r="P23" s="569"/>
    </row>
    <row r="24" spans="1:16" ht="15.75" x14ac:dyDescent="0.25">
      <c r="B24" s="304" t="s">
        <v>276</v>
      </c>
      <c r="C24" s="303"/>
      <c r="D24" s="303"/>
      <c r="E24" s="443"/>
      <c r="F24" s="303"/>
      <c r="G24" s="303"/>
      <c r="H24" s="303"/>
      <c r="I24" s="560"/>
      <c r="J24" s="560"/>
      <c r="K24" s="560"/>
      <c r="L24" s="560"/>
      <c r="M24" s="560"/>
      <c r="N24" s="560"/>
      <c r="O24" s="560"/>
      <c r="P24" s="560"/>
    </row>
    <row r="25" spans="1:16" ht="15.75" x14ac:dyDescent="0.25">
      <c r="B25" s="304" t="s">
        <v>645</v>
      </c>
      <c r="C25" s="303"/>
      <c r="D25" s="303"/>
      <c r="E25" s="443"/>
      <c r="F25" s="303"/>
      <c r="G25" s="303"/>
      <c r="H25" s="560"/>
      <c r="I25" s="560"/>
      <c r="J25" s="560"/>
      <c r="K25" s="560"/>
      <c r="L25" s="560"/>
      <c r="M25" s="560"/>
      <c r="N25" s="560"/>
      <c r="O25" s="560"/>
      <c r="P25" s="560"/>
    </row>
    <row r="26" spans="1:16" ht="15.75" x14ac:dyDescent="0.25">
      <c r="B26" s="58" t="s">
        <v>18</v>
      </c>
      <c r="C26" s="3"/>
      <c r="D26" s="3"/>
      <c r="E26" s="444"/>
      <c r="F26" s="3"/>
      <c r="G26" s="3"/>
      <c r="H26" s="3"/>
      <c r="I26" s="558"/>
      <c r="J26" s="559"/>
      <c r="K26" s="558"/>
      <c r="L26" s="558"/>
      <c r="M26" s="558"/>
      <c r="N26" s="558"/>
      <c r="O26" s="558"/>
      <c r="P26" s="558"/>
    </row>
    <row r="27" spans="1:16" ht="15.75" x14ac:dyDescent="0.25">
      <c r="B27" s="58" t="s">
        <v>710</v>
      </c>
      <c r="C27" s="3"/>
      <c r="D27" s="3"/>
      <c r="E27" s="444"/>
      <c r="F27" s="3"/>
      <c r="G27" s="3"/>
      <c r="H27" s="3"/>
      <c r="I27" s="558"/>
      <c r="J27" s="559"/>
      <c r="K27" s="558"/>
      <c r="L27" s="558"/>
      <c r="M27" s="558"/>
      <c r="N27" s="558"/>
      <c r="O27" s="558"/>
      <c r="P27" s="558"/>
    </row>
    <row r="29" spans="1:16" ht="15.75" x14ac:dyDescent="0.25">
      <c r="A29" s="58" t="s">
        <v>282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1" spans="1:16" x14ac:dyDescent="0.25">
      <c r="A31" s="59" t="s">
        <v>14</v>
      </c>
    </row>
    <row r="32" spans="1:16" x14ac:dyDescent="0.25">
      <c r="A32" s="59" t="s">
        <v>13</v>
      </c>
      <c r="B32" t="s">
        <v>283</v>
      </c>
    </row>
    <row r="33" spans="1:16" x14ac:dyDescent="0.25">
      <c r="A33" s="59" t="s">
        <v>872</v>
      </c>
      <c r="B33" t="s">
        <v>877</v>
      </c>
    </row>
    <row r="34" spans="1:16" x14ac:dyDescent="0.25">
      <c r="A34" s="59"/>
      <c r="B34" t="s">
        <v>876</v>
      </c>
    </row>
    <row r="36" spans="1:16" ht="15.95" customHeight="1" x14ac:dyDescent="0.25">
      <c r="A36" s="445" t="s">
        <v>687</v>
      </c>
      <c r="B36" s="445"/>
      <c r="C36" s="446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</row>
    <row r="37" spans="1:16" x14ac:dyDescent="0.25">
      <c r="A37" s="147"/>
    </row>
    <row r="38" spans="1:16" x14ac:dyDescent="0.25">
      <c r="A38" s="147"/>
    </row>
    <row r="39" spans="1:16" x14ac:dyDescent="0.25">
      <c r="A39" s="147"/>
    </row>
    <row r="40" spans="1:16" x14ac:dyDescent="0.25">
      <c r="A40" s="147"/>
    </row>
    <row r="41" spans="1:16" x14ac:dyDescent="0.25">
      <c r="A41" s="147"/>
    </row>
    <row r="42" spans="1:16" x14ac:dyDescent="0.25">
      <c r="A42" s="147"/>
    </row>
    <row r="43" spans="1:16" x14ac:dyDescent="0.25">
      <c r="A43" s="147"/>
    </row>
    <row r="44" spans="1:16" x14ac:dyDescent="0.25">
      <c r="A44" s="147"/>
    </row>
    <row r="45" spans="1:16" x14ac:dyDescent="0.25">
      <c r="A45" s="147"/>
    </row>
    <row r="46" spans="1:16" x14ac:dyDescent="0.25">
      <c r="A46" s="147"/>
    </row>
    <row r="47" spans="1:16" x14ac:dyDescent="0.25">
      <c r="A47" s="147"/>
    </row>
    <row r="48" spans="1:16" x14ac:dyDescent="0.25">
      <c r="A48" s="147"/>
    </row>
    <row r="49" spans="1:16" x14ac:dyDescent="0.25">
      <c r="A49" s="147"/>
    </row>
    <row r="50" spans="1:16" x14ac:dyDescent="0.25">
      <c r="A50" s="147"/>
    </row>
    <row r="51" spans="1:16" x14ac:dyDescent="0.25">
      <c r="A51" s="147"/>
    </row>
    <row r="52" spans="1:16" x14ac:dyDescent="0.25">
      <c r="A52" s="147"/>
    </row>
    <row r="53" spans="1:16" x14ac:dyDescent="0.25">
      <c r="A53" s="147"/>
    </row>
    <row r="54" spans="1:16" x14ac:dyDescent="0.25">
      <c r="A54" t="s">
        <v>809</v>
      </c>
      <c r="H54" s="277" t="s">
        <v>810</v>
      </c>
    </row>
    <row r="55" spans="1:16" x14ac:dyDescent="0.25">
      <c r="A55" s="147"/>
    </row>
    <row r="56" spans="1:16" ht="15.75" x14ac:dyDescent="0.25">
      <c r="A56" s="54" t="s">
        <v>307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</row>
    <row r="58" spans="1:16" x14ac:dyDescent="0.25">
      <c r="A58" s="10" t="s">
        <v>681</v>
      </c>
    </row>
    <row r="59" spans="1:16" x14ac:dyDescent="0.25">
      <c r="A59" s="386" t="s">
        <v>682</v>
      </c>
    </row>
    <row r="60" spans="1:16" x14ac:dyDescent="0.25">
      <c r="A60" s="428" t="s">
        <v>875</v>
      </c>
    </row>
    <row r="61" spans="1:16" x14ac:dyDescent="0.25">
      <c r="A61" s="428"/>
    </row>
    <row r="62" spans="1:16" x14ac:dyDescent="0.25">
      <c r="A62" s="10" t="s">
        <v>680</v>
      </c>
      <c r="B62" s="10"/>
      <c r="C62" s="386"/>
      <c r="D62" s="386"/>
    </row>
    <row r="63" spans="1:16" x14ac:dyDescent="0.25">
      <c r="A63" t="s">
        <v>808</v>
      </c>
    </row>
    <row r="65" spans="1:5" ht="15.95" customHeight="1" x14ac:dyDescent="0.25">
      <c r="A65" s="76" t="s">
        <v>156</v>
      </c>
    </row>
    <row r="66" spans="1:5" ht="15.95" customHeight="1" x14ac:dyDescent="0.25">
      <c r="A66" s="73" t="s">
        <v>3</v>
      </c>
      <c r="B66" s="69" t="s">
        <v>153</v>
      </c>
      <c r="C66" s="70"/>
      <c r="D66" s="70"/>
      <c r="E66" s="71"/>
    </row>
    <row r="67" spans="1:5" ht="15.95" customHeight="1" x14ac:dyDescent="0.25">
      <c r="A67" s="73" t="s">
        <v>76</v>
      </c>
      <c r="B67" s="69" t="s">
        <v>154</v>
      </c>
      <c r="C67" s="70"/>
      <c r="D67" s="70"/>
      <c r="E67" s="71"/>
    </row>
    <row r="68" spans="1:5" x14ac:dyDescent="0.25">
      <c r="A68" s="73" t="s">
        <v>73</v>
      </c>
      <c r="B68" s="69" t="s">
        <v>395</v>
      </c>
      <c r="C68" s="70"/>
      <c r="D68" s="70"/>
      <c r="E68" s="71"/>
    </row>
    <row r="69" spans="1:5" x14ac:dyDescent="0.25">
      <c r="A69" s="73" t="s">
        <v>75</v>
      </c>
      <c r="B69" s="69" t="s">
        <v>155</v>
      </c>
      <c r="C69" s="70"/>
      <c r="D69" s="70"/>
      <c r="E69" s="71"/>
    </row>
    <row r="70" spans="1:5" x14ac:dyDescent="0.25">
      <c r="A70" s="73" t="s">
        <v>77</v>
      </c>
      <c r="B70" s="69" t="s">
        <v>155</v>
      </c>
      <c r="C70" s="70"/>
      <c r="D70" s="70"/>
      <c r="E70" s="71"/>
    </row>
    <row r="71" spans="1:5" x14ac:dyDescent="0.25">
      <c r="A71" s="75" t="s">
        <v>79</v>
      </c>
      <c r="B71" s="65" t="s">
        <v>155</v>
      </c>
      <c r="C71" s="67"/>
      <c r="D71" s="67"/>
      <c r="E71" s="68"/>
    </row>
    <row r="73" spans="1:5" ht="15.75" x14ac:dyDescent="0.25">
      <c r="A73" s="541" t="s">
        <v>861</v>
      </c>
      <c r="E73" s="43" t="s">
        <v>862</v>
      </c>
    </row>
    <row r="74" spans="1:5" x14ac:dyDescent="0.25">
      <c r="A74" s="1"/>
      <c r="B74" s="74" t="s">
        <v>392</v>
      </c>
      <c r="C74" s="74" t="s">
        <v>393</v>
      </c>
      <c r="D74" s="74" t="s">
        <v>394</v>
      </c>
      <c r="E74" s="426"/>
    </row>
    <row r="75" spans="1:5" x14ac:dyDescent="0.25">
      <c r="A75" s="73" t="s">
        <v>3</v>
      </c>
      <c r="B75" s="72" t="s">
        <v>387</v>
      </c>
      <c r="C75" s="18" t="s">
        <v>388</v>
      </c>
      <c r="D75" s="18" t="s">
        <v>192</v>
      </c>
      <c r="E75" s="542" t="s">
        <v>863</v>
      </c>
    </row>
    <row r="76" spans="1:5" x14ac:dyDescent="0.25">
      <c r="A76" s="73" t="s">
        <v>76</v>
      </c>
      <c r="B76" s="18" t="s">
        <v>396</v>
      </c>
      <c r="C76" s="18" t="s">
        <v>397</v>
      </c>
      <c r="D76" s="18" t="s">
        <v>398</v>
      </c>
      <c r="E76" s="542" t="s">
        <v>864</v>
      </c>
    </row>
    <row r="77" spans="1:5" x14ac:dyDescent="0.25">
      <c r="A77" s="73" t="s">
        <v>73</v>
      </c>
      <c r="B77" s="18" t="s">
        <v>399</v>
      </c>
      <c r="C77" s="18" t="s">
        <v>397</v>
      </c>
      <c r="D77" s="18" t="s">
        <v>400</v>
      </c>
      <c r="E77" s="542" t="s">
        <v>865</v>
      </c>
    </row>
    <row r="78" spans="1:5" x14ac:dyDescent="0.25">
      <c r="A78" s="73" t="s">
        <v>75</v>
      </c>
      <c r="B78" s="18" t="s">
        <v>399</v>
      </c>
      <c r="C78" s="18"/>
      <c r="D78" s="18" t="s">
        <v>400</v>
      </c>
      <c r="E78" s="542" t="s">
        <v>866</v>
      </c>
    </row>
    <row r="79" spans="1:5" x14ac:dyDescent="0.25">
      <c r="A79" s="73" t="s">
        <v>77</v>
      </c>
      <c r="B79" s="18" t="s">
        <v>401</v>
      </c>
      <c r="C79" s="18" t="s">
        <v>402</v>
      </c>
      <c r="D79" s="18" t="s">
        <v>403</v>
      </c>
      <c r="E79" s="542" t="s">
        <v>867</v>
      </c>
    </row>
    <row r="80" spans="1:5" x14ac:dyDescent="0.25">
      <c r="A80" s="73" t="s">
        <v>79</v>
      </c>
      <c r="B80" s="18" t="s">
        <v>401</v>
      </c>
      <c r="C80" s="18"/>
      <c r="D80" s="18"/>
      <c r="E80" s="543" t="s">
        <v>868</v>
      </c>
    </row>
    <row r="81" spans="1:16" x14ac:dyDescent="0.25">
      <c r="A81" s="147"/>
      <c r="B81" s="19"/>
      <c r="C81" s="19"/>
      <c r="D81" s="19"/>
    </row>
    <row r="82" spans="1:16" ht="15.95" customHeight="1" x14ac:dyDescent="0.35">
      <c r="A82" s="54" t="s">
        <v>598</v>
      </c>
      <c r="B82" s="55"/>
      <c r="C82" s="55"/>
      <c r="D82" s="55"/>
      <c r="E82" s="55"/>
      <c r="F82" s="55"/>
      <c r="G82" s="55"/>
      <c r="H82" s="55"/>
      <c r="I82" s="298"/>
      <c r="J82" s="55"/>
      <c r="K82" s="55"/>
      <c r="L82" s="55"/>
      <c r="M82" s="55"/>
      <c r="N82" s="55"/>
      <c r="O82" s="55"/>
      <c r="P82" s="55"/>
    </row>
    <row r="83" spans="1:16" x14ac:dyDescent="0.25">
      <c r="A83" s="147"/>
      <c r="B83" s="19"/>
      <c r="C83" s="19"/>
      <c r="D83" s="19"/>
    </row>
    <row r="84" spans="1:16" x14ac:dyDescent="0.25">
      <c r="A84" t="s">
        <v>878</v>
      </c>
      <c r="B84" s="19"/>
      <c r="C84" s="19"/>
      <c r="D84" s="19"/>
    </row>
    <row r="86" spans="1:16" x14ac:dyDescent="0.25">
      <c r="A86" s="77" t="s">
        <v>406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8" spans="1:16" x14ac:dyDescent="0.25">
      <c r="A88" s="10" t="s">
        <v>681</v>
      </c>
    </row>
    <row r="89" spans="1:16" x14ac:dyDescent="0.25">
      <c r="A89" s="386" t="s">
        <v>682</v>
      </c>
    </row>
    <row r="90" spans="1:16" x14ac:dyDescent="0.25">
      <c r="A90" s="428" t="s">
        <v>875</v>
      </c>
    </row>
    <row r="92" spans="1:16" ht="15.75" thickBot="1" x14ac:dyDescent="0.3">
      <c r="A92" t="s">
        <v>745</v>
      </c>
      <c r="K92" t="s">
        <v>746</v>
      </c>
      <c r="N92" s="43" t="s">
        <v>855</v>
      </c>
      <c r="O92" s="277" t="s">
        <v>856</v>
      </c>
    </row>
    <row r="93" spans="1:16" x14ac:dyDescent="0.25">
      <c r="N93" s="447" t="s">
        <v>135</v>
      </c>
      <c r="O93" s="538" t="s">
        <v>666</v>
      </c>
    </row>
    <row r="94" spans="1:16" x14ac:dyDescent="0.25">
      <c r="A94" s="147"/>
      <c r="B94" s="19"/>
      <c r="C94" s="19"/>
      <c r="D94" s="19"/>
      <c r="N94" s="285" t="s">
        <v>134</v>
      </c>
      <c r="O94" s="472" t="s">
        <v>666</v>
      </c>
    </row>
    <row r="95" spans="1:16" x14ac:dyDescent="0.25">
      <c r="A95" t="s">
        <v>673</v>
      </c>
      <c r="B95" s="19"/>
      <c r="C95" s="19"/>
      <c r="D95" s="19"/>
      <c r="N95" s="285" t="s">
        <v>851</v>
      </c>
      <c r="O95" s="466" t="s">
        <v>666</v>
      </c>
    </row>
    <row r="96" spans="1:16" ht="15.75" thickBot="1" x14ac:dyDescent="0.3">
      <c r="A96" t="s">
        <v>708</v>
      </c>
      <c r="B96" s="19"/>
      <c r="C96" s="19"/>
      <c r="D96" s="19"/>
      <c r="E96" s="277" t="s">
        <v>709</v>
      </c>
      <c r="N96" s="285" t="s">
        <v>305</v>
      </c>
      <c r="O96" s="472" t="s">
        <v>666</v>
      </c>
    </row>
    <row r="97" spans="1:15" x14ac:dyDescent="0.25">
      <c r="A97" s="574"/>
      <c r="B97" s="575" t="s">
        <v>667</v>
      </c>
      <c r="C97" s="575" t="s">
        <v>668</v>
      </c>
      <c r="D97" s="575" t="s">
        <v>669</v>
      </c>
      <c r="E97" s="575" t="s">
        <v>113</v>
      </c>
      <c r="F97" s="576" t="s">
        <v>675</v>
      </c>
      <c r="I97" s="447"/>
      <c r="J97" s="463" t="s">
        <v>811</v>
      </c>
      <c r="K97" s="456"/>
      <c r="L97" s="457"/>
      <c r="N97" s="285" t="s">
        <v>137</v>
      </c>
      <c r="O97" s="472" t="s">
        <v>666</v>
      </c>
    </row>
    <row r="98" spans="1:15" x14ac:dyDescent="0.25">
      <c r="A98" s="577" t="s">
        <v>663</v>
      </c>
      <c r="B98" s="18" t="s">
        <v>672</v>
      </c>
      <c r="C98" s="18" t="s">
        <v>672</v>
      </c>
      <c r="D98" s="18"/>
      <c r="E98" s="18"/>
      <c r="F98" s="176"/>
      <c r="I98" s="464" t="s">
        <v>812</v>
      </c>
      <c r="J98" s="155" t="s">
        <v>814</v>
      </c>
      <c r="K98" s="155" t="s">
        <v>816</v>
      </c>
      <c r="L98" s="286"/>
      <c r="N98" s="285" t="s">
        <v>136</v>
      </c>
      <c r="O98" s="472" t="s">
        <v>666</v>
      </c>
    </row>
    <row r="99" spans="1:15" x14ac:dyDescent="0.25">
      <c r="A99" s="577" t="s">
        <v>119</v>
      </c>
      <c r="B99" s="18" t="s">
        <v>672</v>
      </c>
      <c r="C99" s="18" t="s">
        <v>672</v>
      </c>
      <c r="D99" s="18" t="s">
        <v>672</v>
      </c>
      <c r="E99" s="18"/>
      <c r="F99" s="176"/>
      <c r="I99" s="458" t="s">
        <v>817</v>
      </c>
      <c r="J99" s="19" t="s">
        <v>815</v>
      </c>
      <c r="K99" s="305" t="s">
        <v>813</v>
      </c>
      <c r="L99" s="286"/>
      <c r="N99" s="285" t="s">
        <v>652</v>
      </c>
      <c r="O99" s="472" t="s">
        <v>666</v>
      </c>
    </row>
    <row r="100" spans="1:15" x14ac:dyDescent="0.25">
      <c r="A100" s="577" t="s">
        <v>670</v>
      </c>
      <c r="B100" s="18" t="s">
        <v>672</v>
      </c>
      <c r="C100" s="18" t="s">
        <v>672</v>
      </c>
      <c r="D100" s="18" t="s">
        <v>672</v>
      </c>
      <c r="E100" s="18"/>
      <c r="F100" s="176"/>
      <c r="I100" s="458" t="s">
        <v>818</v>
      </c>
      <c r="J100" s="19"/>
      <c r="K100" s="19" t="s">
        <v>819</v>
      </c>
      <c r="L100" s="459" t="s">
        <v>820</v>
      </c>
      <c r="N100" s="285" t="s">
        <v>703</v>
      </c>
      <c r="O100" s="472" t="s">
        <v>666</v>
      </c>
    </row>
    <row r="101" spans="1:15" ht="15.75" thickBot="1" x14ac:dyDescent="0.3">
      <c r="A101" s="577" t="s">
        <v>671</v>
      </c>
      <c r="B101" s="18" t="s">
        <v>672</v>
      </c>
      <c r="C101" s="18" t="s">
        <v>672</v>
      </c>
      <c r="D101" s="18" t="s">
        <v>672</v>
      </c>
      <c r="E101" s="18"/>
      <c r="F101" s="176"/>
      <c r="I101" s="460"/>
      <c r="J101" s="455" t="s">
        <v>314</v>
      </c>
      <c r="K101" s="461"/>
      <c r="L101" s="462" t="s">
        <v>138</v>
      </c>
      <c r="N101" s="285" t="s">
        <v>655</v>
      </c>
      <c r="O101" s="472" t="s">
        <v>666</v>
      </c>
    </row>
    <row r="102" spans="1:15" ht="15.75" thickBot="1" x14ac:dyDescent="0.3">
      <c r="A102" s="577" t="s">
        <v>665</v>
      </c>
      <c r="B102" s="18"/>
      <c r="C102" s="18"/>
      <c r="D102" s="18" t="s">
        <v>672</v>
      </c>
      <c r="E102" s="18"/>
      <c r="F102" s="176"/>
      <c r="I102" t="s">
        <v>837</v>
      </c>
      <c r="L102" s="277" t="s">
        <v>838</v>
      </c>
      <c r="N102" s="460" t="s">
        <v>286</v>
      </c>
      <c r="O102" s="539" t="s">
        <v>666</v>
      </c>
    </row>
    <row r="103" spans="1:15" x14ac:dyDescent="0.25">
      <c r="A103" s="577" t="s">
        <v>664</v>
      </c>
      <c r="B103" s="18" t="s">
        <v>672</v>
      </c>
      <c r="C103" s="18" t="s">
        <v>672</v>
      </c>
      <c r="D103" s="18" t="s">
        <v>672</v>
      </c>
      <c r="E103" s="18"/>
      <c r="F103" s="176"/>
    </row>
    <row r="104" spans="1:15" x14ac:dyDescent="0.25">
      <c r="A104" s="577" t="s">
        <v>118</v>
      </c>
      <c r="B104" s="18" t="s">
        <v>672</v>
      </c>
      <c r="C104" s="18" t="s">
        <v>672</v>
      </c>
      <c r="D104" s="18" t="s">
        <v>672</v>
      </c>
      <c r="E104" s="18"/>
      <c r="F104" s="176"/>
      <c r="O104" s="305"/>
    </row>
    <row r="105" spans="1:15" x14ac:dyDescent="0.25">
      <c r="A105" s="577" t="s">
        <v>674</v>
      </c>
      <c r="B105" s="18"/>
      <c r="C105" s="18"/>
      <c r="D105" s="18"/>
      <c r="E105" s="18"/>
      <c r="F105" s="176"/>
      <c r="I105" s="540" t="s">
        <v>853</v>
      </c>
      <c r="O105" s="305"/>
    </row>
    <row r="106" spans="1:15" ht="15.75" thickBot="1" x14ac:dyDescent="0.3">
      <c r="A106" s="578" t="s">
        <v>678</v>
      </c>
      <c r="B106" s="179"/>
      <c r="C106" s="179"/>
      <c r="D106" s="179"/>
      <c r="E106" s="179" t="s">
        <v>672</v>
      </c>
      <c r="F106" s="180"/>
      <c r="O106" s="305"/>
    </row>
    <row r="107" spans="1:15" x14ac:dyDescent="0.25">
      <c r="A107" s="147" t="s">
        <v>676</v>
      </c>
      <c r="B107" s="19"/>
      <c r="C107" s="19"/>
      <c r="D107" s="19"/>
      <c r="O107" s="305"/>
    </row>
    <row r="108" spans="1:15" x14ac:dyDescent="0.25">
      <c r="B108" s="19"/>
      <c r="C108" s="19"/>
      <c r="D108" s="19"/>
      <c r="O108" s="305"/>
    </row>
    <row r="109" spans="1:15" x14ac:dyDescent="0.25">
      <c r="A109" t="s">
        <v>763</v>
      </c>
      <c r="B109" s="19"/>
      <c r="C109" s="433" t="s">
        <v>764</v>
      </c>
      <c r="D109" s="19"/>
      <c r="F109" t="s">
        <v>852</v>
      </c>
      <c r="H109" s="277" t="s">
        <v>850</v>
      </c>
    </row>
    <row r="110" spans="1:15" x14ac:dyDescent="0.25">
      <c r="B110" s="19"/>
      <c r="C110" s="19"/>
      <c r="D110" s="19"/>
      <c r="O110" s="305"/>
    </row>
    <row r="111" spans="1:15" x14ac:dyDescent="0.25">
      <c r="A111" t="s">
        <v>762</v>
      </c>
      <c r="B111" s="19"/>
      <c r="C111" s="19"/>
      <c r="D111" s="19"/>
      <c r="O111" s="305"/>
    </row>
    <row r="112" spans="1:15" x14ac:dyDescent="0.25">
      <c r="A112" t="s">
        <v>765</v>
      </c>
      <c r="B112" s="19"/>
      <c r="C112" s="433" t="s">
        <v>709</v>
      </c>
      <c r="D112" s="19"/>
      <c r="N112" s="93"/>
      <c r="O112" s="305"/>
    </row>
    <row r="114" spans="1:16" ht="15.75" x14ac:dyDescent="0.25">
      <c r="A114" s="53" t="s">
        <v>599</v>
      </c>
      <c r="B114" s="53"/>
      <c r="C114" s="53"/>
      <c r="D114" s="53"/>
      <c r="E114" s="53"/>
      <c r="F114" s="53"/>
      <c r="G114" s="53"/>
      <c r="H114" s="53"/>
      <c r="I114" s="299"/>
      <c r="J114" s="53"/>
      <c r="K114" s="53"/>
      <c r="L114" s="53"/>
      <c r="M114" s="53"/>
      <c r="N114" s="53"/>
      <c r="O114" s="53"/>
      <c r="P114" s="53"/>
    </row>
    <row r="116" spans="1:16" x14ac:dyDescent="0.25">
      <c r="A116" t="s">
        <v>878</v>
      </c>
      <c r="B116" s="19"/>
      <c r="C116" s="19"/>
      <c r="D116" s="19"/>
    </row>
    <row r="118" spans="1:16" ht="15.75" x14ac:dyDescent="0.25">
      <c r="A118" s="297" t="s">
        <v>128</v>
      </c>
      <c r="B118" s="81"/>
      <c r="C118" s="81"/>
      <c r="D118" s="81"/>
      <c r="E118" s="81"/>
      <c r="F118" s="81"/>
      <c r="G118" s="81"/>
      <c r="H118" s="81"/>
      <c r="I118" s="300"/>
      <c r="J118" s="81"/>
      <c r="K118" s="81"/>
      <c r="L118" s="81"/>
      <c r="M118" s="81"/>
      <c r="N118" s="81"/>
      <c r="O118" s="81"/>
      <c r="P118" s="81"/>
    </row>
    <row r="120" spans="1:16" x14ac:dyDescent="0.25">
      <c r="A120" s="10" t="s">
        <v>681</v>
      </c>
    </row>
    <row r="121" spans="1:16" x14ac:dyDescent="0.25">
      <c r="A121" s="386" t="s">
        <v>682</v>
      </c>
    </row>
    <row r="122" spans="1:16" ht="15.75" thickBot="1" x14ac:dyDescent="0.3">
      <c r="A122" s="428" t="s">
        <v>875</v>
      </c>
    </row>
    <row r="123" spans="1:16" ht="15.75" thickBot="1" x14ac:dyDescent="0.3">
      <c r="I123" s="447"/>
      <c r="J123" s="463" t="s">
        <v>821</v>
      </c>
      <c r="K123" s="456"/>
      <c r="L123" s="457"/>
      <c r="N123" s="43" t="s">
        <v>855</v>
      </c>
      <c r="O123" s="277" t="s">
        <v>810</v>
      </c>
    </row>
    <row r="124" spans="1:16" x14ac:dyDescent="0.25">
      <c r="A124" t="s">
        <v>803</v>
      </c>
      <c r="I124" s="464" t="s">
        <v>812</v>
      </c>
      <c r="J124" s="155" t="s">
        <v>814</v>
      </c>
      <c r="K124" s="155" t="s">
        <v>816</v>
      </c>
      <c r="L124" s="286"/>
      <c r="N124" s="447" t="s">
        <v>252</v>
      </c>
      <c r="O124" s="538" t="s">
        <v>666</v>
      </c>
    </row>
    <row r="125" spans="1:16" x14ac:dyDescent="0.25">
      <c r="A125" t="s">
        <v>804</v>
      </c>
      <c r="I125" s="458" t="s">
        <v>817</v>
      </c>
      <c r="J125" s="19" t="s">
        <v>824</v>
      </c>
      <c r="K125" s="305" t="s">
        <v>813</v>
      </c>
      <c r="L125" s="286"/>
      <c r="N125" s="285" t="s">
        <v>256</v>
      </c>
      <c r="O125" s="472" t="s">
        <v>666</v>
      </c>
    </row>
    <row r="126" spans="1:16" x14ac:dyDescent="0.25">
      <c r="I126" s="458" t="s">
        <v>822</v>
      </c>
      <c r="J126" s="19"/>
      <c r="K126" s="19" t="s">
        <v>823</v>
      </c>
      <c r="L126" s="459" t="s">
        <v>294</v>
      </c>
      <c r="N126" s="285" t="s">
        <v>857</v>
      </c>
      <c r="O126" s="466" t="s">
        <v>666</v>
      </c>
    </row>
    <row r="127" spans="1:16" ht="15.75" thickBot="1" x14ac:dyDescent="0.3">
      <c r="A127" t="s">
        <v>743</v>
      </c>
      <c r="I127" s="460"/>
      <c r="J127" s="455" t="s">
        <v>535</v>
      </c>
      <c r="K127" s="461"/>
      <c r="L127" s="462" t="s">
        <v>292</v>
      </c>
      <c r="N127" s="285" t="s">
        <v>858</v>
      </c>
      <c r="O127" s="472" t="s">
        <v>666</v>
      </c>
    </row>
    <row r="128" spans="1:16" ht="15.75" thickBot="1" x14ac:dyDescent="0.3">
      <c r="A128" s="1"/>
      <c r="B128" s="18" t="s">
        <v>722</v>
      </c>
      <c r="C128" s="18" t="s">
        <v>723</v>
      </c>
      <c r="D128" s="18" t="s">
        <v>724</v>
      </c>
      <c r="N128" s="285" t="s">
        <v>859</v>
      </c>
      <c r="O128" s="472" t="s">
        <v>666</v>
      </c>
    </row>
    <row r="129" spans="1:16" x14ac:dyDescent="0.25">
      <c r="A129" s="376" t="s">
        <v>731</v>
      </c>
      <c r="B129" s="18" t="s">
        <v>334</v>
      </c>
      <c r="C129" s="18" t="s">
        <v>336</v>
      </c>
      <c r="D129" s="18" t="s">
        <v>338</v>
      </c>
      <c r="E129" s="19"/>
      <c r="F129" s="19"/>
      <c r="I129" s="447" t="s">
        <v>825</v>
      </c>
      <c r="J129" s="465" t="s">
        <v>826</v>
      </c>
      <c r="N129" s="285" t="s">
        <v>860</v>
      </c>
      <c r="O129" s="472" t="s">
        <v>666</v>
      </c>
    </row>
    <row r="130" spans="1:16" x14ac:dyDescent="0.25">
      <c r="A130" s="376" t="s">
        <v>713</v>
      </c>
      <c r="B130" s="18" t="s">
        <v>340</v>
      </c>
      <c r="C130" s="18" t="s">
        <v>342</v>
      </c>
      <c r="D130" s="18" t="s">
        <v>344</v>
      </c>
      <c r="E130" s="19"/>
      <c r="F130" s="19"/>
      <c r="I130" s="285" t="s">
        <v>827</v>
      </c>
      <c r="J130" s="466" t="s">
        <v>828</v>
      </c>
      <c r="N130" s="285"/>
      <c r="O130" s="472"/>
    </row>
    <row r="131" spans="1:16" x14ac:dyDescent="0.25">
      <c r="A131" s="376" t="s">
        <v>725</v>
      </c>
      <c r="B131" s="18" t="s">
        <v>716</v>
      </c>
      <c r="C131" s="18" t="s">
        <v>717</v>
      </c>
      <c r="D131" s="18" t="s">
        <v>718</v>
      </c>
      <c r="E131" s="19"/>
      <c r="F131" s="19"/>
      <c r="I131" s="285" t="s">
        <v>829</v>
      </c>
      <c r="J131" s="466" t="s">
        <v>830</v>
      </c>
      <c r="N131" s="285"/>
      <c r="O131" s="472"/>
    </row>
    <row r="132" spans="1:16" x14ac:dyDescent="0.25">
      <c r="A132" s="376" t="s">
        <v>726</v>
      </c>
      <c r="B132" s="18" t="s">
        <v>727</v>
      </c>
      <c r="C132" s="18" t="s">
        <v>728</v>
      </c>
      <c r="D132" s="18" t="s">
        <v>729</v>
      </c>
      <c r="E132" s="19"/>
      <c r="F132" s="19"/>
      <c r="I132" s="285" t="s">
        <v>831</v>
      </c>
      <c r="J132" s="466" t="s">
        <v>832</v>
      </c>
      <c r="N132" s="285"/>
      <c r="O132" s="472"/>
    </row>
    <row r="133" spans="1:16" ht="15.75" thickBot="1" x14ac:dyDescent="0.3">
      <c r="A133" s="376" t="s">
        <v>730</v>
      </c>
      <c r="B133" s="18" t="s">
        <v>714</v>
      </c>
      <c r="C133" s="18" t="s">
        <v>715</v>
      </c>
      <c r="D133" s="18"/>
      <c r="E133" s="19"/>
      <c r="F133" s="19"/>
      <c r="I133" s="285" t="s">
        <v>833</v>
      </c>
      <c r="J133" s="466" t="s">
        <v>834</v>
      </c>
      <c r="N133" s="460"/>
      <c r="O133" s="539"/>
    </row>
    <row r="134" spans="1:16" x14ac:dyDescent="0.25">
      <c r="A134" s="376" t="s">
        <v>732</v>
      </c>
      <c r="B134" s="18"/>
      <c r="C134" s="18" t="s">
        <v>734</v>
      </c>
      <c r="D134" s="18"/>
      <c r="E134" s="19"/>
      <c r="F134" s="19"/>
      <c r="I134" s="285"/>
      <c r="J134" s="466"/>
    </row>
    <row r="135" spans="1:16" ht="15.75" thickBot="1" x14ac:dyDescent="0.3">
      <c r="A135" s="376" t="s">
        <v>733</v>
      </c>
      <c r="B135" s="18"/>
      <c r="C135" s="18" t="s">
        <v>735</v>
      </c>
      <c r="D135" s="18"/>
      <c r="E135" s="19"/>
      <c r="F135" s="19"/>
      <c r="I135" s="460"/>
      <c r="J135" s="467"/>
    </row>
    <row r="136" spans="1:16" x14ac:dyDescent="0.25">
      <c r="A136" s="376" t="s">
        <v>736</v>
      </c>
      <c r="B136" s="18" t="s">
        <v>737</v>
      </c>
      <c r="C136" s="18" t="s">
        <v>738</v>
      </c>
      <c r="D136" s="18"/>
      <c r="E136" s="19"/>
      <c r="F136" s="19"/>
    </row>
    <row r="137" spans="1:16" x14ac:dyDescent="0.25">
      <c r="A137" s="160"/>
      <c r="B137" s="19"/>
      <c r="C137" s="19"/>
      <c r="D137" s="19"/>
      <c r="E137" s="19"/>
      <c r="F137" s="19"/>
      <c r="I137" s="540" t="s">
        <v>854</v>
      </c>
    </row>
    <row r="138" spans="1:16" x14ac:dyDescent="0.25">
      <c r="A138" t="s">
        <v>763</v>
      </c>
      <c r="B138" s="19"/>
      <c r="C138" s="433" t="s">
        <v>764</v>
      </c>
      <c r="D138" s="19"/>
    </row>
    <row r="139" spans="1:16" x14ac:dyDescent="0.25">
      <c r="A139" t="s">
        <v>765</v>
      </c>
      <c r="B139" s="19"/>
      <c r="C139" s="433" t="s">
        <v>709</v>
      </c>
      <c r="D139" s="19"/>
    </row>
    <row r="140" spans="1:16" x14ac:dyDescent="0.25">
      <c r="B140" s="19"/>
      <c r="C140" s="433"/>
      <c r="D140" s="19"/>
    </row>
    <row r="141" spans="1:16" x14ac:dyDescent="0.25">
      <c r="A141" s="147" t="s">
        <v>676</v>
      </c>
      <c r="B141" s="19"/>
      <c r="C141" s="433"/>
      <c r="D141" s="19"/>
    </row>
    <row r="142" spans="1:16" x14ac:dyDescent="0.25">
      <c r="B142" s="19"/>
      <c r="C142" s="19"/>
      <c r="D142" s="19"/>
    </row>
    <row r="143" spans="1:16" ht="15.75" x14ac:dyDescent="0.25">
      <c r="A143" s="297" t="s">
        <v>600</v>
      </c>
      <c r="B143" s="81"/>
      <c r="C143" s="81"/>
      <c r="D143" s="81"/>
      <c r="E143" s="81"/>
      <c r="F143" s="81"/>
      <c r="G143" s="81"/>
      <c r="H143" s="81"/>
      <c r="I143" s="300"/>
      <c r="J143" s="81"/>
      <c r="K143" s="81"/>
      <c r="L143" s="81"/>
      <c r="M143" s="81"/>
      <c r="N143" s="81"/>
      <c r="O143" s="81"/>
      <c r="P143" s="81"/>
    </row>
    <row r="145" spans="1:16" x14ac:dyDescent="0.25">
      <c r="A145" t="s">
        <v>878</v>
      </c>
      <c r="B145" s="19"/>
      <c r="C145" s="19"/>
      <c r="D145" s="19"/>
    </row>
    <row r="147" spans="1:16" ht="15.75" x14ac:dyDescent="0.25">
      <c r="A147" s="304" t="s">
        <v>276</v>
      </c>
      <c r="B147" s="304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</row>
    <row r="149" spans="1:16" x14ac:dyDescent="0.25">
      <c r="A149" s="93" t="s">
        <v>659</v>
      </c>
    </row>
    <row r="151" spans="1:16" ht="15.75" x14ac:dyDescent="0.25">
      <c r="A151" s="304" t="s">
        <v>645</v>
      </c>
      <c r="B151" s="304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</row>
    <row r="153" spans="1:16" x14ac:dyDescent="0.25">
      <c r="A153" t="s">
        <v>660</v>
      </c>
    </row>
    <row r="155" spans="1:16" ht="15.75" x14ac:dyDescent="0.25">
      <c r="A155" s="58" t="s">
        <v>18</v>
      </c>
      <c r="B155" s="58"/>
      <c r="C155" s="3"/>
      <c r="D155" s="3"/>
      <c r="E155" s="3"/>
      <c r="F155" s="3"/>
      <c r="G155" s="3"/>
      <c r="H155" s="3"/>
      <c r="I155" s="3"/>
      <c r="J155" s="289"/>
      <c r="K155" s="3"/>
      <c r="L155" s="3"/>
      <c r="M155" s="3"/>
      <c r="N155" s="3"/>
      <c r="O155" s="3"/>
      <c r="P155" s="3"/>
    </row>
    <row r="157" spans="1:16" x14ac:dyDescent="0.25">
      <c r="A157" t="s">
        <v>661</v>
      </c>
    </row>
    <row r="159" spans="1:16" ht="15.75" x14ac:dyDescent="0.25">
      <c r="A159" s="58" t="s">
        <v>710</v>
      </c>
      <c r="B159" s="58"/>
      <c r="C159" s="3"/>
      <c r="D159" s="3"/>
      <c r="E159" s="3"/>
      <c r="F159" s="3"/>
      <c r="G159" s="3"/>
      <c r="H159" s="3"/>
      <c r="I159" s="3"/>
      <c r="J159" s="289"/>
      <c r="K159" s="3"/>
      <c r="L159" s="3"/>
      <c r="M159" s="3"/>
      <c r="N159" s="3"/>
      <c r="O159" s="3"/>
      <c r="P159" s="3"/>
    </row>
    <row r="161" spans="1:1" x14ac:dyDescent="0.25">
      <c r="A161" t="s">
        <v>879</v>
      </c>
    </row>
  </sheetData>
  <hyperlinks>
    <hyperlink ref="G1" location="Schip!A1" display="Schip!A1" xr:uid="{00000000-0004-0000-0100-000000000000}"/>
    <hyperlink ref="G2" location="Gebruiksaanwijzing!J12" display="Gebruiksaanwijzing!J12" xr:uid="{00000000-0004-0000-0100-000001000000}"/>
    <hyperlink ref="E96" location="Afbeeldingen!A1" display="Afbeeldingen!A1" xr:uid="{00000000-0004-0000-0100-000002000000}"/>
    <hyperlink ref="C109" location="Afbeeldingen!A1" display="Afbeeldingen!1" xr:uid="{00000000-0004-0000-0100-000003000000}"/>
    <hyperlink ref="C112" location="Afbeeldingen!A1" display="Afbeeldingen!A1" xr:uid="{00000000-0004-0000-0100-000004000000}"/>
    <hyperlink ref="C138" location="Afbeeldingen!A1" display="Afbeeldingen!1" xr:uid="{00000000-0004-0000-0100-000005000000}"/>
    <hyperlink ref="C139" location="Afbeeldingen!A1" display="Afbeeldingen!A1" xr:uid="{00000000-0004-0000-0100-000006000000}"/>
    <hyperlink ref="H54" location="Estrin!A266" display="Estrin!A266" xr:uid="{00000000-0004-0000-0100-000007000000}"/>
    <hyperlink ref="L102" location="Data!W4" display="Data!W4" xr:uid="{00000000-0004-0000-0100-000008000000}"/>
    <hyperlink ref="H109" location="Afbeeldingen!E7" display="Afbeeldingen!E7" xr:uid="{00000000-0004-0000-0100-000009000000}"/>
    <hyperlink ref="O92" location="Estrin!A217" display="Estrin!A217" xr:uid="{00000000-0004-0000-0100-00000A000000}"/>
    <hyperlink ref="O123" location="Estrin!A266" display="Estrin!A266" xr:uid="{00000000-0004-0000-0100-00000B000000}"/>
    <hyperlink ref="E75" location="Estrin!A55" display="Estrin!A55" xr:uid="{00000000-0004-0000-0100-00000C000000}"/>
    <hyperlink ref="E76" location="Estrin!A92" display="Estrin!A92" xr:uid="{00000000-0004-0000-0100-00000D000000}"/>
    <hyperlink ref="E77" location="Estrin!A120" display="Estrin!A120" xr:uid="{00000000-0004-0000-0100-00000E000000}"/>
    <hyperlink ref="E78" location="Estrin!A144" display="Estrin!A144" xr:uid="{00000000-0004-0000-0100-00000F000000}"/>
    <hyperlink ref="E79" location="Estrin!A156" display="Estrin!A156" xr:uid="{00000000-0004-0000-0100-000010000000}"/>
    <hyperlink ref="E80" location="Estrin!A181" display="Estrin!A181" xr:uid="{00000000-0004-0000-0100-000011000000}"/>
  </hyperlink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Afbeeldingen!$A$2:$A$11</xm:f>
          </x14:formula1>
          <xm:sqref>L97 L123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D49"/>
  <sheetViews>
    <sheetView zoomScale="115" zoomScaleNormal="115" workbookViewId="0"/>
  </sheetViews>
  <sheetFormatPr defaultColWidth="9.140625" defaultRowHeight="15" x14ac:dyDescent="0.25"/>
  <cols>
    <col min="1" max="1" width="14.42578125" customWidth="1"/>
    <col min="2" max="2" width="29" customWidth="1"/>
    <col min="3" max="3" width="14.42578125" style="19" customWidth="1"/>
    <col min="4" max="4" width="84.140625" style="64" customWidth="1"/>
  </cols>
  <sheetData>
    <row r="1" spans="1:4" s="402" customFormat="1" ht="24" thickBot="1" x14ac:dyDescent="0.4">
      <c r="A1" s="399" t="s">
        <v>687</v>
      </c>
      <c r="B1" s="400" t="s">
        <v>594</v>
      </c>
      <c r="C1" s="401" t="s">
        <v>573</v>
      </c>
      <c r="D1" s="403"/>
    </row>
    <row r="2" spans="1:4" s="407" customFormat="1" ht="19.5" thickBot="1" x14ac:dyDescent="0.35">
      <c r="A2" s="404" t="s">
        <v>80</v>
      </c>
      <c r="B2" s="404" t="s">
        <v>270</v>
      </c>
      <c r="C2" s="405" t="s">
        <v>688</v>
      </c>
      <c r="D2" s="406" t="s">
        <v>409</v>
      </c>
    </row>
    <row r="3" spans="1:4" s="407" customFormat="1" ht="19.5" thickBot="1" x14ac:dyDescent="0.35">
      <c r="A3" s="408"/>
      <c r="B3" s="409"/>
      <c r="C3" s="410" t="s">
        <v>17</v>
      </c>
      <c r="D3" s="411"/>
    </row>
    <row r="4" spans="1:4" s="407" customFormat="1" ht="23.25" customHeight="1" thickBot="1" x14ac:dyDescent="0.4">
      <c r="A4" s="412" t="s">
        <v>689</v>
      </c>
      <c r="B4" s="413"/>
      <c r="C4" s="496" t="s">
        <v>581</v>
      </c>
      <c r="D4" s="411"/>
    </row>
    <row r="5" spans="1:4" ht="17.25" customHeight="1" x14ac:dyDescent="0.25">
      <c r="A5" s="18" t="str">
        <f>VLOOKUP(B5,Data!$BO$4:$BT$12,2,FALSE)</f>
        <v>-</v>
      </c>
      <c r="B5" s="14" t="s">
        <v>412</v>
      </c>
      <c r="C5" s="15"/>
      <c r="D5" s="45"/>
    </row>
    <row r="6" spans="1:4" x14ac:dyDescent="0.25">
      <c r="A6" s="18" t="str">
        <f>VLOOKUP(B6,Data!$BO$4:$BT$12,2,FALSE)</f>
        <v>-</v>
      </c>
      <c r="B6" s="14" t="s">
        <v>412</v>
      </c>
      <c r="C6" s="17"/>
      <c r="D6" s="47"/>
    </row>
    <row r="7" spans="1:4" x14ac:dyDescent="0.25">
      <c r="A7" s="18" t="str">
        <f>VLOOKUP(B7,Data!$BO$4:$BT$12,2,FALSE)</f>
        <v>-</v>
      </c>
      <c r="B7" s="14" t="s">
        <v>407</v>
      </c>
      <c r="C7" s="17"/>
      <c r="D7" s="47"/>
    </row>
    <row r="8" spans="1:4" x14ac:dyDescent="0.25">
      <c r="A8" s="18" t="str">
        <f>VLOOKUP(B8,Data!$BO$4:$BT$12,2,FALSE)</f>
        <v>-</v>
      </c>
      <c r="B8" s="14" t="s">
        <v>407</v>
      </c>
      <c r="C8" s="17"/>
      <c r="D8" s="47"/>
    </row>
    <row r="9" spans="1:4" x14ac:dyDescent="0.25">
      <c r="A9" s="18" t="str">
        <f>VLOOKUP(B9,Data!$BO$4:$BT$12,2,FALSE)</f>
        <v>-</v>
      </c>
      <c r="B9" s="14" t="s">
        <v>407</v>
      </c>
      <c r="C9" s="17"/>
      <c r="D9" s="47"/>
    </row>
    <row r="10" spans="1:4" x14ac:dyDescent="0.25">
      <c r="A10" s="17"/>
      <c r="B10" s="17"/>
      <c r="C10" s="17"/>
      <c r="D10" s="47"/>
    </row>
    <row r="11" spans="1:4" x14ac:dyDescent="0.25">
      <c r="A11" s="17"/>
      <c r="B11" s="17"/>
      <c r="C11" s="17"/>
      <c r="D11" s="47"/>
    </row>
    <row r="12" spans="1:4" ht="15.75" thickBot="1" x14ac:dyDescent="0.3">
      <c r="A12" s="28"/>
      <c r="B12" s="28"/>
      <c r="C12" s="28"/>
      <c r="D12" s="48"/>
    </row>
    <row r="13" spans="1:4" s="407" customFormat="1" ht="21.75" thickBot="1" x14ac:dyDescent="0.4">
      <c r="A13" s="412" t="s">
        <v>95</v>
      </c>
      <c r="B13" s="413"/>
      <c r="C13" s="414"/>
      <c r="D13" s="415"/>
    </row>
    <row r="14" spans="1:4" x14ac:dyDescent="0.25">
      <c r="A14" s="18" t="str">
        <f>VLOOKUP(B14,Data!$BO$4:$BT$24,3,FALSE)</f>
        <v>-</v>
      </c>
      <c r="B14" s="14" t="s">
        <v>412</v>
      </c>
      <c r="C14" s="15"/>
      <c r="D14" s="45"/>
    </row>
    <row r="15" spans="1:4" x14ac:dyDescent="0.25">
      <c r="A15" s="18" t="str">
        <f>VLOOKUP(B15,Data!$BO$4:$BT$24,3,FALSE)</f>
        <v>-</v>
      </c>
      <c r="B15" s="14" t="s">
        <v>412</v>
      </c>
      <c r="C15" s="17"/>
      <c r="D15" s="47"/>
    </row>
    <row r="16" spans="1:4" x14ac:dyDescent="0.25">
      <c r="A16" s="18" t="str">
        <f>VLOOKUP(B16,Data!$BO$4:$BT$24,3,FALSE)</f>
        <v>-</v>
      </c>
      <c r="B16" s="14" t="s">
        <v>412</v>
      </c>
      <c r="C16" s="17"/>
      <c r="D16" s="47"/>
    </row>
    <row r="17" spans="1:4" x14ac:dyDescent="0.25">
      <c r="A17" s="18" t="str">
        <f>VLOOKUP(B17,Data!$BO$4:$BT$24,3,FALSE)</f>
        <v>-</v>
      </c>
      <c r="B17" s="14" t="s">
        <v>412</v>
      </c>
      <c r="C17" s="17"/>
      <c r="D17" s="47"/>
    </row>
    <row r="18" spans="1:4" x14ac:dyDescent="0.25">
      <c r="A18" s="18" t="str">
        <f>VLOOKUP(B18,Data!$BO$4:$BT$24,3,FALSE)</f>
        <v>-</v>
      </c>
      <c r="B18" s="14" t="s">
        <v>412</v>
      </c>
      <c r="C18" s="17"/>
      <c r="D18" s="47"/>
    </row>
    <row r="19" spans="1:4" x14ac:dyDescent="0.25">
      <c r="A19" s="17"/>
      <c r="B19" s="17"/>
      <c r="C19" s="17"/>
      <c r="D19" s="47"/>
    </row>
    <row r="20" spans="1:4" x14ac:dyDescent="0.25">
      <c r="A20" s="17"/>
      <c r="B20" s="17"/>
      <c r="C20" s="17"/>
      <c r="D20" s="47"/>
    </row>
    <row r="21" spans="1:4" ht="15.75" thickBot="1" x14ac:dyDescent="0.3">
      <c r="A21" s="17"/>
      <c r="B21" s="17"/>
      <c r="C21" s="17"/>
      <c r="D21" s="47"/>
    </row>
    <row r="22" spans="1:4" s="407" customFormat="1" ht="21.75" thickBot="1" x14ac:dyDescent="0.4">
      <c r="A22" s="412" t="str">
        <f>IF(Schip!$I$8&gt;1,"40 Mast","")</f>
        <v>40 Mast</v>
      </c>
      <c r="B22" s="413"/>
      <c r="C22" s="414"/>
      <c r="D22" s="415"/>
    </row>
    <row r="23" spans="1:4" x14ac:dyDescent="0.25">
      <c r="A23" s="18" t="str">
        <f>VLOOKUP(B23,Data!$BO$4:$BT$24,4,FALSE)</f>
        <v>-</v>
      </c>
      <c r="B23" s="14" t="s">
        <v>412</v>
      </c>
      <c r="C23" s="15"/>
      <c r="D23" s="47"/>
    </row>
    <row r="24" spans="1:4" x14ac:dyDescent="0.25">
      <c r="A24" s="18" t="str">
        <f>VLOOKUP(B24,Data!$BO$4:$BT$24,4,FALSE)</f>
        <v>-</v>
      </c>
      <c r="B24" s="14" t="s">
        <v>412</v>
      </c>
      <c r="C24" s="17"/>
      <c r="D24" s="47"/>
    </row>
    <row r="25" spans="1:4" x14ac:dyDescent="0.25">
      <c r="A25" s="18" t="str">
        <f>VLOOKUP(B25,Data!$BO$4:$BT$24,4,FALSE)</f>
        <v>-</v>
      </c>
      <c r="B25" s="14" t="s">
        <v>412</v>
      </c>
      <c r="C25" s="17"/>
      <c r="D25" s="47"/>
    </row>
    <row r="26" spans="1:4" x14ac:dyDescent="0.25">
      <c r="A26" s="18" t="str">
        <f>VLOOKUP(B26,Data!$BO$4:$BT$24,4,FALSE)</f>
        <v>-</v>
      </c>
      <c r="B26" s="14" t="s">
        <v>412</v>
      </c>
      <c r="C26" s="17"/>
      <c r="D26" s="47"/>
    </row>
    <row r="27" spans="1:4" x14ac:dyDescent="0.25">
      <c r="A27" s="18" t="str">
        <f>VLOOKUP(B27,Data!$BO$4:$BT$24,4,FALSE)</f>
        <v>-</v>
      </c>
      <c r="B27" s="14" t="s">
        <v>412</v>
      </c>
      <c r="C27" s="17"/>
      <c r="D27" s="47"/>
    </row>
    <row r="28" spans="1:4" x14ac:dyDescent="0.25">
      <c r="A28" s="17"/>
      <c r="B28" s="17"/>
      <c r="C28" s="17"/>
      <c r="D28" s="47"/>
    </row>
    <row r="29" spans="1:4" x14ac:dyDescent="0.25">
      <c r="A29" s="17"/>
      <c r="B29" s="17"/>
      <c r="C29" s="17"/>
      <c r="D29" s="47"/>
    </row>
    <row r="30" spans="1:4" ht="15.75" thickBot="1" x14ac:dyDescent="0.3">
      <c r="A30" s="17"/>
      <c r="B30" s="17"/>
      <c r="C30" s="17"/>
      <c r="D30" s="47"/>
    </row>
    <row r="31" spans="1:4" s="407" customFormat="1" ht="21.75" thickBot="1" x14ac:dyDescent="0.4">
      <c r="A31" s="412" t="str">
        <f>IF(Schip!$I$8&gt;2,"60 Mast","")</f>
        <v>60 Mast</v>
      </c>
      <c r="B31" s="413"/>
      <c r="C31" s="414"/>
      <c r="D31" s="415"/>
    </row>
    <row r="32" spans="1:4" x14ac:dyDescent="0.25">
      <c r="A32" s="18" t="str">
        <f>VLOOKUP(B32,Data!$BO$4:$BT$24,5,FALSE)</f>
        <v>-</v>
      </c>
      <c r="B32" s="14" t="s">
        <v>412</v>
      </c>
      <c r="C32" s="15"/>
      <c r="D32" s="47"/>
    </row>
    <row r="33" spans="1:4" x14ac:dyDescent="0.25">
      <c r="A33" s="18" t="str">
        <f>VLOOKUP(B33,Data!$BO$4:$BT$24,5,FALSE)</f>
        <v>-</v>
      </c>
      <c r="B33" s="14" t="s">
        <v>412</v>
      </c>
      <c r="C33" s="17"/>
      <c r="D33" s="47"/>
    </row>
    <row r="34" spans="1:4" x14ac:dyDescent="0.25">
      <c r="A34" s="18" t="str">
        <f>VLOOKUP(B34,Data!$BO$4:$BT$24,5,FALSE)</f>
        <v>-</v>
      </c>
      <c r="B34" s="14" t="s">
        <v>412</v>
      </c>
      <c r="C34" s="17"/>
      <c r="D34" s="47"/>
    </row>
    <row r="35" spans="1:4" x14ac:dyDescent="0.25">
      <c r="A35" s="18" t="str">
        <f>VLOOKUP(B35,Data!$BO$4:$BT$24,5,FALSE)</f>
        <v>-</v>
      </c>
      <c r="B35" s="14" t="s">
        <v>412</v>
      </c>
      <c r="C35" s="17"/>
      <c r="D35" s="47"/>
    </row>
    <row r="36" spans="1:4" x14ac:dyDescent="0.25">
      <c r="A36" s="18" t="str">
        <f>VLOOKUP(B36,Data!$BO$4:$BT$24,5,FALSE)</f>
        <v>-</v>
      </c>
      <c r="B36" s="14" t="s">
        <v>412</v>
      </c>
      <c r="C36" s="17"/>
      <c r="D36" s="47"/>
    </row>
    <row r="37" spans="1:4" x14ac:dyDescent="0.25">
      <c r="A37" s="17"/>
      <c r="B37" s="17"/>
      <c r="C37" s="17"/>
      <c r="D37" s="47"/>
    </row>
    <row r="38" spans="1:4" x14ac:dyDescent="0.25">
      <c r="A38" s="17"/>
      <c r="B38" s="17"/>
      <c r="C38" s="17"/>
      <c r="D38" s="47"/>
    </row>
    <row r="39" spans="1:4" ht="15.75" thickBot="1" x14ac:dyDescent="0.3">
      <c r="A39" s="17"/>
      <c r="B39" s="17"/>
      <c r="C39" s="17"/>
      <c r="D39" s="47"/>
    </row>
    <row r="40" spans="1:4" s="407" customFormat="1" ht="21.75" thickBot="1" x14ac:dyDescent="0.4">
      <c r="A40" s="412" t="str">
        <f>IF(Schip!$I$8&gt;3,"80 Mast","")</f>
        <v>80 Mast</v>
      </c>
      <c r="B40" s="413"/>
      <c r="C40" s="414"/>
      <c r="D40" s="415"/>
    </row>
    <row r="41" spans="1:4" x14ac:dyDescent="0.25">
      <c r="A41" s="18" t="str">
        <f>VLOOKUP(B41,Data!$BO$4:$BT$24,6,FALSE)</f>
        <v>-</v>
      </c>
      <c r="B41" s="14" t="s">
        <v>412</v>
      </c>
      <c r="C41" s="15"/>
      <c r="D41" s="47"/>
    </row>
    <row r="42" spans="1:4" x14ac:dyDescent="0.25">
      <c r="A42" s="18" t="str">
        <f>VLOOKUP(B42,Data!$BO$4:$BT$24,6,FALSE)</f>
        <v>-</v>
      </c>
      <c r="B42" s="14" t="s">
        <v>412</v>
      </c>
      <c r="C42" s="17"/>
      <c r="D42" s="47"/>
    </row>
    <row r="43" spans="1:4" x14ac:dyDescent="0.25">
      <c r="A43" s="18" t="str">
        <f>VLOOKUP(B43,Data!$BO$4:$BT$24,6,FALSE)</f>
        <v>-</v>
      </c>
      <c r="B43" s="14" t="s">
        <v>412</v>
      </c>
      <c r="C43" s="17"/>
      <c r="D43" s="47"/>
    </row>
    <row r="44" spans="1:4" x14ac:dyDescent="0.25">
      <c r="A44" s="18" t="str">
        <f>VLOOKUP(B44,Data!$BO$4:$BT$24,6,FALSE)</f>
        <v>-</v>
      </c>
      <c r="B44" s="14" t="s">
        <v>412</v>
      </c>
      <c r="C44" s="17"/>
      <c r="D44" s="47"/>
    </row>
    <row r="45" spans="1:4" x14ac:dyDescent="0.25">
      <c r="A45" s="18" t="str">
        <f>VLOOKUP(B45,Data!$BO$4:$BT$24,6,FALSE)</f>
        <v>-</v>
      </c>
      <c r="B45" s="14" t="s">
        <v>412</v>
      </c>
      <c r="C45" s="17"/>
      <c r="D45" s="47"/>
    </row>
    <row r="46" spans="1:4" x14ac:dyDescent="0.25">
      <c r="A46" s="17"/>
      <c r="B46" s="17"/>
      <c r="C46" s="17"/>
      <c r="D46" s="47"/>
    </row>
    <row r="47" spans="1:4" x14ac:dyDescent="0.25">
      <c r="A47" s="17"/>
      <c r="B47" s="17"/>
      <c r="C47" s="17"/>
      <c r="D47" s="47"/>
    </row>
    <row r="48" spans="1:4" ht="15.75" thickBot="1" x14ac:dyDescent="0.3">
      <c r="A48" s="17"/>
      <c r="B48" s="17"/>
      <c r="C48" s="17"/>
      <c r="D48" s="47"/>
    </row>
    <row r="49" spans="1:4" s="407" customFormat="1" ht="21.75" thickBot="1" x14ac:dyDescent="0.4">
      <c r="A49" s="412"/>
      <c r="B49" s="413"/>
      <c r="C49" s="414"/>
      <c r="D49" s="415"/>
    </row>
  </sheetData>
  <hyperlinks>
    <hyperlink ref="C1" location="Schip!A1" display="Schip!A1" xr:uid="{00000000-0004-0000-0200-000000000000}"/>
  </hyperlink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Data!$BO$4:$BO$12</xm:f>
          </x14:formula1>
          <xm:sqref>B5:B9</xm:sqref>
        </x14:dataValidation>
        <x14:dataValidation type="list" allowBlank="1" showInputMessage="1" showErrorMessage="1" xr:uid="{00000000-0002-0000-0200-000001000000}">
          <x14:formula1>
            <xm:f>Data!$BO$13:$BO$24</xm:f>
          </x14:formula1>
          <xm:sqref>B14:B18 B41:B45 B32:B36 B23:B27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K43"/>
  <sheetViews>
    <sheetView zoomScaleNormal="100" workbookViewId="0">
      <pane xSplit="1" ySplit="3" topLeftCell="B16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14.42578125" customWidth="1"/>
    <col min="2" max="2" width="29" customWidth="1"/>
    <col min="3" max="3" width="6.5703125" customWidth="1"/>
    <col min="4" max="4" width="16" style="19" customWidth="1"/>
    <col min="5" max="5" width="14.5703125" style="19" customWidth="1"/>
    <col min="6" max="6" width="14.42578125" style="19" customWidth="1"/>
    <col min="7" max="9" width="12.5703125" style="19" customWidth="1"/>
    <col min="10" max="10" width="10.42578125" style="19" customWidth="1"/>
    <col min="11" max="11" width="84.140625" customWidth="1"/>
  </cols>
  <sheetData>
    <row r="1" spans="1:11" s="11" customFormat="1" ht="24" thickBot="1" x14ac:dyDescent="0.4">
      <c r="A1" s="30" t="s">
        <v>72</v>
      </c>
      <c r="C1" s="571" t="s">
        <v>594</v>
      </c>
      <c r="F1" s="290" t="s">
        <v>573</v>
      </c>
      <c r="G1" s="20" t="s">
        <v>62</v>
      </c>
      <c r="H1" s="21" t="s">
        <v>70</v>
      </c>
    </row>
    <row r="2" spans="1:11" s="586" customFormat="1" ht="19.5" thickBot="1" x14ac:dyDescent="0.35">
      <c r="A2" s="582" t="s">
        <v>80</v>
      </c>
      <c r="B2" s="583" t="s">
        <v>601</v>
      </c>
      <c r="C2" s="359" t="s">
        <v>666</v>
      </c>
      <c r="D2" s="583" t="s">
        <v>4</v>
      </c>
      <c r="E2" s="583" t="s">
        <v>99</v>
      </c>
      <c r="F2" s="583" t="s">
        <v>150</v>
      </c>
      <c r="G2" s="584" t="s">
        <v>389</v>
      </c>
      <c r="H2" s="584" t="s">
        <v>390</v>
      </c>
      <c r="I2" s="584" t="s">
        <v>391</v>
      </c>
      <c r="J2" s="583" t="s">
        <v>93</v>
      </c>
      <c r="K2" s="585" t="s">
        <v>409</v>
      </c>
    </row>
    <row r="3" spans="1:11" s="13" customFormat="1" ht="19.5" thickBot="1" x14ac:dyDescent="0.35">
      <c r="A3" s="41"/>
      <c r="B3" s="387"/>
      <c r="C3" s="387"/>
      <c r="D3" s="42"/>
      <c r="E3" s="42"/>
      <c r="F3" s="44" t="s">
        <v>157</v>
      </c>
      <c r="G3" s="588" t="s">
        <v>405</v>
      </c>
      <c r="H3" s="589"/>
      <c r="I3" s="589"/>
      <c r="J3" s="347"/>
    </row>
    <row r="4" spans="1:11" s="13" customFormat="1" ht="23.25" customHeight="1" thickBot="1" x14ac:dyDescent="0.4">
      <c r="A4" s="23" t="s">
        <v>92</v>
      </c>
      <c r="B4" s="24"/>
      <c r="C4" s="24"/>
      <c r="D4" s="25"/>
      <c r="E4" s="25"/>
      <c r="F4" s="26"/>
      <c r="G4" s="26"/>
      <c r="H4" s="26"/>
      <c r="I4" s="26"/>
      <c r="J4" s="26"/>
    </row>
    <row r="5" spans="1:11" ht="17.25" customHeight="1" x14ac:dyDescent="0.25">
      <c r="A5" s="18" t="str">
        <f>VLOOKUP(B5,Data!$G$4:$H$9,2,FALSE)</f>
        <v>-</v>
      </c>
      <c r="B5" s="14" t="s">
        <v>412</v>
      </c>
      <c r="C5" s="358" t="str">
        <f>+VLOOKUP(B5,Data!$G$60:$V$83,2,0)</f>
        <v>-</v>
      </c>
      <c r="D5" s="14" t="s">
        <v>412</v>
      </c>
      <c r="E5" s="14" t="s">
        <v>412</v>
      </c>
      <c r="F5" s="15"/>
      <c r="G5" s="15"/>
      <c r="H5" s="15"/>
      <c r="I5" s="15"/>
      <c r="J5" s="15"/>
      <c r="K5" s="45"/>
    </row>
    <row r="6" spans="1:11" x14ac:dyDescent="0.25">
      <c r="A6" s="18" t="str">
        <f>VLOOKUP(B6,Data!$G$4:$H$9,2,FALSE)</f>
        <v>-</v>
      </c>
      <c r="B6" s="14" t="s">
        <v>412</v>
      </c>
      <c r="C6" s="358" t="str">
        <f>+VLOOKUP(B6,Data!$G$60:$V$83,2,0)</f>
        <v>-</v>
      </c>
      <c r="D6" s="14" t="s">
        <v>412</v>
      </c>
      <c r="E6" s="14" t="s">
        <v>412</v>
      </c>
      <c r="F6" s="17"/>
      <c r="G6" s="17"/>
      <c r="H6" s="15"/>
      <c r="I6" s="15"/>
      <c r="J6" s="17"/>
      <c r="K6" s="47"/>
    </row>
    <row r="7" spans="1:11" x14ac:dyDescent="0.25">
      <c r="A7" s="18" t="str">
        <f>VLOOKUP(B7,Data!$G$4:$H$9,2,FALSE)</f>
        <v>-</v>
      </c>
      <c r="B7" s="14" t="s">
        <v>412</v>
      </c>
      <c r="C7" s="358" t="str">
        <f>+VLOOKUP(B7,Data!$G$60:$V$83,2,0)</f>
        <v>-</v>
      </c>
      <c r="D7" s="14" t="s">
        <v>412</v>
      </c>
      <c r="E7" s="14" t="s">
        <v>412</v>
      </c>
      <c r="F7" s="17"/>
      <c r="G7" s="17"/>
      <c r="H7" s="15"/>
      <c r="I7" s="15"/>
      <c r="J7" s="17"/>
      <c r="K7" s="47"/>
    </row>
    <row r="8" spans="1:11" x14ac:dyDescent="0.25">
      <c r="A8" s="18" t="str">
        <f>VLOOKUP(B8,Data!$G$4:$H$9,2,FALSE)</f>
        <v>-</v>
      </c>
      <c r="B8" s="14" t="s">
        <v>412</v>
      </c>
      <c r="C8" s="358" t="str">
        <f>+VLOOKUP(B8,Data!$G$60:$V$83,2,0)</f>
        <v>-</v>
      </c>
      <c r="D8" s="14" t="s">
        <v>412</v>
      </c>
      <c r="E8" s="14" t="s">
        <v>412</v>
      </c>
      <c r="F8" s="17"/>
      <c r="G8" s="17"/>
      <c r="H8" s="15"/>
      <c r="I8" s="15"/>
      <c r="J8" s="17"/>
      <c r="K8" s="47"/>
    </row>
    <row r="9" spans="1:11" x14ac:dyDescent="0.25">
      <c r="A9" s="28"/>
      <c r="B9" s="28"/>
      <c r="C9" s="358"/>
      <c r="D9" s="14" t="s">
        <v>412</v>
      </c>
      <c r="E9" s="14" t="s">
        <v>412</v>
      </c>
      <c r="F9" s="28"/>
      <c r="G9" s="28"/>
      <c r="H9" s="15"/>
      <c r="I9" s="15"/>
      <c r="J9" s="28"/>
      <c r="K9" s="48"/>
    </row>
    <row r="10" spans="1:11" ht="15.75" thickBot="1" x14ac:dyDescent="0.3">
      <c r="A10" s="28"/>
      <c r="B10" s="28"/>
      <c r="C10" s="358"/>
      <c r="D10" s="14" t="s">
        <v>412</v>
      </c>
      <c r="E10" s="14" t="s">
        <v>412</v>
      </c>
      <c r="F10" s="28"/>
      <c r="G10" s="28"/>
      <c r="H10" s="15"/>
      <c r="I10" s="15"/>
      <c r="J10" s="28"/>
      <c r="K10" s="48"/>
    </row>
    <row r="11" spans="1:11" s="13" customFormat="1" ht="21.75" thickBot="1" x14ac:dyDescent="0.4">
      <c r="A11" s="23" t="s">
        <v>95</v>
      </c>
      <c r="B11" s="24"/>
      <c r="C11" s="24"/>
      <c r="F11" s="26"/>
      <c r="G11" s="26"/>
      <c r="H11" s="26"/>
      <c r="I11" s="26"/>
      <c r="J11" s="26"/>
      <c r="K11" s="78"/>
    </row>
    <row r="12" spans="1:11" x14ac:dyDescent="0.25">
      <c r="A12" s="18">
        <f>VLOOKUP(B12,Data!$I$4:$M$16,2,FALSE)</f>
        <v>0</v>
      </c>
      <c r="B12" s="14" t="s">
        <v>412</v>
      </c>
      <c r="C12" s="358" t="str">
        <f>+VLOOKUP(B12,Data!$G$60:$V$72,2,0)</f>
        <v>-</v>
      </c>
      <c r="D12" s="14" t="s">
        <v>412</v>
      </c>
      <c r="E12" s="14" t="s">
        <v>412</v>
      </c>
      <c r="F12" s="15"/>
      <c r="G12" s="15"/>
      <c r="H12" s="15"/>
      <c r="I12" s="15"/>
      <c r="J12" s="15"/>
      <c r="K12" s="45"/>
    </row>
    <row r="13" spans="1:11" x14ac:dyDescent="0.25">
      <c r="A13" s="18">
        <f>VLOOKUP(B13,Data!$I$4:$M$16,2,FALSE)</f>
        <v>0</v>
      </c>
      <c r="B13" s="14" t="s">
        <v>412</v>
      </c>
      <c r="C13" s="358" t="str">
        <f>+VLOOKUP(B13,Data!$G$60:$V$72,2,0)</f>
        <v>-</v>
      </c>
      <c r="D13" s="14" t="s">
        <v>412</v>
      </c>
      <c r="E13" s="14" t="s">
        <v>412</v>
      </c>
      <c r="F13" s="17"/>
      <c r="G13" s="17"/>
      <c r="H13" s="17"/>
      <c r="I13" s="17"/>
      <c r="J13" s="17"/>
      <c r="K13" s="47"/>
    </row>
    <row r="14" spans="1:11" x14ac:dyDescent="0.25">
      <c r="A14" s="18">
        <f>VLOOKUP(B14,Data!$I$4:$M$16,2,FALSE)</f>
        <v>0</v>
      </c>
      <c r="B14" s="14" t="s">
        <v>412</v>
      </c>
      <c r="C14" s="358" t="str">
        <f>+VLOOKUP(B14,Data!$G$60:$V$72,2,0)</f>
        <v>-</v>
      </c>
      <c r="D14" s="14" t="s">
        <v>412</v>
      </c>
      <c r="E14" s="14" t="s">
        <v>412</v>
      </c>
      <c r="F14" s="17"/>
      <c r="G14" s="17"/>
      <c r="H14" s="17"/>
      <c r="I14" s="17"/>
      <c r="J14" s="17"/>
      <c r="K14" s="47"/>
    </row>
    <row r="15" spans="1:11" x14ac:dyDescent="0.25">
      <c r="A15" s="18">
        <f>VLOOKUP(B15,Data!$I$4:$M$16,2,FALSE)</f>
        <v>0</v>
      </c>
      <c r="B15" s="14" t="s">
        <v>412</v>
      </c>
      <c r="C15" s="358" t="str">
        <f>+VLOOKUP(B15,Data!$G$60:$V$72,2,0)</f>
        <v>-</v>
      </c>
      <c r="D15" s="14" t="s">
        <v>412</v>
      </c>
      <c r="E15" s="14" t="s">
        <v>412</v>
      </c>
      <c r="F15" s="17"/>
      <c r="G15" s="17"/>
      <c r="H15" s="17"/>
      <c r="I15" s="17"/>
      <c r="J15" s="17"/>
      <c r="K15" s="47"/>
    </row>
    <row r="16" spans="1:11" x14ac:dyDescent="0.25">
      <c r="A16" s="18">
        <f>VLOOKUP(B16,Data!$I$4:$M$16,2,FALSE)</f>
        <v>0</v>
      </c>
      <c r="B16" s="14" t="s">
        <v>412</v>
      </c>
      <c r="C16" s="358" t="str">
        <f>+VLOOKUP(B16,Data!$G$60:$V$72,2,0)</f>
        <v>-</v>
      </c>
      <c r="D16" s="14" t="s">
        <v>412</v>
      </c>
      <c r="E16" s="14" t="s">
        <v>412</v>
      </c>
      <c r="F16" s="17"/>
      <c r="G16" s="17"/>
      <c r="H16" s="17"/>
      <c r="I16" s="17"/>
      <c r="J16" s="17"/>
      <c r="K16" s="47"/>
    </row>
    <row r="17" spans="1:11" x14ac:dyDescent="0.25">
      <c r="A17" s="28"/>
      <c r="B17" s="28"/>
      <c r="C17" s="358"/>
      <c r="D17" s="14" t="s">
        <v>412</v>
      </c>
      <c r="E17" s="14" t="s">
        <v>412</v>
      </c>
      <c r="F17" s="17"/>
      <c r="G17" s="17"/>
      <c r="H17" s="17"/>
      <c r="I17" s="17"/>
      <c r="J17" s="17"/>
      <c r="K17" s="47"/>
    </row>
    <row r="18" spans="1:11" ht="15.75" thickBot="1" x14ac:dyDescent="0.3">
      <c r="A18" s="28"/>
      <c r="B18" s="28"/>
      <c r="C18" s="358"/>
      <c r="D18" s="14" t="s">
        <v>412</v>
      </c>
      <c r="E18" s="14" t="s">
        <v>412</v>
      </c>
      <c r="F18" s="17"/>
      <c r="G18" s="17"/>
      <c r="H18" s="17"/>
      <c r="I18" s="17"/>
      <c r="J18" s="17"/>
      <c r="K18" s="47"/>
    </row>
    <row r="19" spans="1:11" s="13" customFormat="1" ht="21.75" thickBot="1" x14ac:dyDescent="0.4">
      <c r="A19" s="23" t="str">
        <f>IF(Schip!$I$8&gt;1,"40 Mast","")</f>
        <v>40 Mast</v>
      </c>
      <c r="B19" s="24"/>
      <c r="C19" s="24"/>
      <c r="F19" s="26"/>
      <c r="G19" s="26"/>
      <c r="H19" s="26"/>
      <c r="I19" s="26"/>
      <c r="J19" s="26"/>
      <c r="K19" s="78"/>
    </row>
    <row r="20" spans="1:11" x14ac:dyDescent="0.25">
      <c r="A20" s="18">
        <f>VLOOKUP(B20,Data!$I$4:$M$16,3,FALSE)</f>
        <v>0</v>
      </c>
      <c r="B20" s="14" t="s">
        <v>412</v>
      </c>
      <c r="C20" s="358" t="str">
        <f>+VLOOKUP(B20,Data!$G$60:$V$72,2,0)</f>
        <v>-</v>
      </c>
      <c r="D20" s="14" t="s">
        <v>412</v>
      </c>
      <c r="E20" s="14" t="s">
        <v>412</v>
      </c>
      <c r="F20" s="17"/>
      <c r="G20" s="17"/>
      <c r="H20" s="17"/>
      <c r="I20" s="15"/>
      <c r="J20" s="17"/>
      <c r="K20" s="47"/>
    </row>
    <row r="21" spans="1:11" x14ac:dyDescent="0.25">
      <c r="A21" s="18">
        <f>VLOOKUP(B21,Data!$I$4:$M$16,3,FALSE)</f>
        <v>0</v>
      </c>
      <c r="B21" s="14" t="s">
        <v>412</v>
      </c>
      <c r="C21" s="358" t="str">
        <f>+VLOOKUP(B21,Data!$G$60:$V$72,2,0)</f>
        <v>-</v>
      </c>
      <c r="D21" s="14" t="s">
        <v>412</v>
      </c>
      <c r="E21" s="14" t="s">
        <v>412</v>
      </c>
      <c r="F21" s="17"/>
      <c r="G21" s="17"/>
      <c r="H21" s="17"/>
      <c r="I21" s="17"/>
      <c r="J21" s="17"/>
      <c r="K21" s="47"/>
    </row>
    <row r="22" spans="1:11" x14ac:dyDescent="0.25">
      <c r="A22" s="18">
        <f>VLOOKUP(B22,Data!$I$4:$M$16,3,FALSE)</f>
        <v>0</v>
      </c>
      <c r="B22" s="14" t="s">
        <v>412</v>
      </c>
      <c r="C22" s="358" t="str">
        <f>+VLOOKUP(B22,Data!$G$60:$V$72,2,0)</f>
        <v>-</v>
      </c>
      <c r="D22" s="14" t="s">
        <v>412</v>
      </c>
      <c r="E22" s="14" t="s">
        <v>412</v>
      </c>
      <c r="F22" s="17"/>
      <c r="G22" s="17"/>
      <c r="H22" s="17"/>
      <c r="I22" s="17"/>
      <c r="J22" s="17"/>
      <c r="K22" s="47"/>
    </row>
    <row r="23" spans="1:11" x14ac:dyDescent="0.25">
      <c r="A23" s="18">
        <f>VLOOKUP(B23,Data!$I$4:$M$16,3,FALSE)</f>
        <v>0</v>
      </c>
      <c r="B23" s="14" t="s">
        <v>412</v>
      </c>
      <c r="C23" s="358" t="str">
        <f>+VLOOKUP(B23,Data!$G$60:$V$72,2,0)</f>
        <v>-</v>
      </c>
      <c r="D23" s="14" t="s">
        <v>412</v>
      </c>
      <c r="E23" s="14" t="s">
        <v>412</v>
      </c>
      <c r="F23" s="17"/>
      <c r="G23" s="17"/>
      <c r="H23" s="17"/>
      <c r="I23" s="17"/>
      <c r="J23" s="17"/>
      <c r="K23" s="47"/>
    </row>
    <row r="24" spans="1:11" x14ac:dyDescent="0.25">
      <c r="A24" s="18">
        <f>VLOOKUP(B24,Data!$I$4:$M$16,3,FALSE)</f>
        <v>0</v>
      </c>
      <c r="B24" s="14" t="s">
        <v>412</v>
      </c>
      <c r="C24" s="358" t="str">
        <f>+VLOOKUP(B24,Data!$G$60:$V$72,2,0)</f>
        <v>-</v>
      </c>
      <c r="D24" s="14" t="s">
        <v>412</v>
      </c>
      <c r="E24" s="14" t="s">
        <v>412</v>
      </c>
      <c r="F24" s="17"/>
      <c r="G24" s="17"/>
      <c r="H24" s="17"/>
      <c r="I24" s="17"/>
      <c r="J24" s="17"/>
      <c r="K24" s="47"/>
    </row>
    <row r="25" spans="1:11" x14ac:dyDescent="0.25">
      <c r="A25" s="28"/>
      <c r="B25" s="28"/>
      <c r="C25" s="358"/>
      <c r="D25" s="14" t="s">
        <v>412</v>
      </c>
      <c r="E25" s="14" t="s">
        <v>412</v>
      </c>
      <c r="F25" s="17"/>
      <c r="G25" s="17"/>
      <c r="H25" s="17"/>
      <c r="I25" s="17"/>
      <c r="J25" s="17"/>
      <c r="K25" s="47"/>
    </row>
    <row r="26" spans="1:11" ht="15.75" thickBot="1" x14ac:dyDescent="0.3">
      <c r="A26" s="28"/>
      <c r="B26" s="28"/>
      <c r="C26" s="358"/>
      <c r="D26" s="14" t="s">
        <v>412</v>
      </c>
      <c r="E26" s="14" t="s">
        <v>412</v>
      </c>
      <c r="F26" s="17"/>
      <c r="G26" s="17"/>
      <c r="H26" s="17"/>
      <c r="I26" s="17"/>
      <c r="J26" s="17"/>
      <c r="K26" s="47"/>
    </row>
    <row r="27" spans="1:11" s="13" customFormat="1" ht="21.75" thickBot="1" x14ac:dyDescent="0.4">
      <c r="A27" s="23" t="str">
        <f>IF(Schip!$I$8&gt;2,"60 Mast","")</f>
        <v>60 Mast</v>
      </c>
      <c r="B27" s="24"/>
      <c r="C27" s="24"/>
      <c r="F27" s="26"/>
      <c r="G27" s="26"/>
      <c r="H27" s="26"/>
      <c r="I27" s="26"/>
      <c r="J27" s="26"/>
      <c r="K27" s="78"/>
    </row>
    <row r="28" spans="1:11" x14ac:dyDescent="0.25">
      <c r="A28" s="18">
        <f>VLOOKUP(B28,Data!$I$4:$M$16,4,FALSE)</f>
        <v>0</v>
      </c>
      <c r="B28" s="14" t="s">
        <v>412</v>
      </c>
      <c r="C28" s="358" t="str">
        <f>+VLOOKUP(B28,Data!$G$60:$V$72,2,0)</f>
        <v>-</v>
      </c>
      <c r="D28" s="14" t="s">
        <v>412</v>
      </c>
      <c r="E28" s="14" t="s">
        <v>412</v>
      </c>
      <c r="F28" s="17"/>
      <c r="G28" s="17"/>
      <c r="H28" s="17"/>
      <c r="I28" s="15"/>
      <c r="J28" s="17"/>
      <c r="K28" s="47"/>
    </row>
    <row r="29" spans="1:11" x14ac:dyDescent="0.25">
      <c r="A29" s="18">
        <f>VLOOKUP(B29,Data!$I$4:$M$16,4,FALSE)</f>
        <v>0</v>
      </c>
      <c r="B29" s="14" t="s">
        <v>412</v>
      </c>
      <c r="C29" s="358" t="str">
        <f>+VLOOKUP(B29,Data!$G$60:$V$72,2,0)</f>
        <v>-</v>
      </c>
      <c r="D29" s="14" t="s">
        <v>412</v>
      </c>
      <c r="E29" s="14" t="s">
        <v>412</v>
      </c>
      <c r="F29" s="17"/>
      <c r="G29" s="17"/>
      <c r="H29" s="17"/>
      <c r="I29" s="17"/>
      <c r="J29" s="17"/>
      <c r="K29" s="47"/>
    </row>
    <row r="30" spans="1:11" x14ac:dyDescent="0.25">
      <c r="A30" s="18">
        <f>VLOOKUP(B30,Data!$I$4:$M$16,4,FALSE)</f>
        <v>0</v>
      </c>
      <c r="B30" s="14" t="s">
        <v>412</v>
      </c>
      <c r="C30" s="358" t="str">
        <f>+VLOOKUP(B30,Data!$G$60:$V$72,2,0)</f>
        <v>-</v>
      </c>
      <c r="D30" s="14" t="s">
        <v>412</v>
      </c>
      <c r="E30" s="14" t="s">
        <v>412</v>
      </c>
      <c r="F30" s="17"/>
      <c r="G30" s="17"/>
      <c r="H30" s="17"/>
      <c r="I30" s="17"/>
      <c r="J30" s="17"/>
      <c r="K30" s="47"/>
    </row>
    <row r="31" spans="1:11" x14ac:dyDescent="0.25">
      <c r="A31" s="18">
        <f>VLOOKUP(B31,Data!$I$4:$M$16,4,FALSE)</f>
        <v>0</v>
      </c>
      <c r="B31" s="14" t="s">
        <v>412</v>
      </c>
      <c r="C31" s="358" t="str">
        <f>+VLOOKUP(B31,Data!$G$60:$V$72,2,0)</f>
        <v>-</v>
      </c>
      <c r="D31" s="14" t="s">
        <v>412</v>
      </c>
      <c r="E31" s="14" t="s">
        <v>412</v>
      </c>
      <c r="F31" s="17"/>
      <c r="G31" s="17"/>
      <c r="H31" s="17"/>
      <c r="I31" s="17"/>
      <c r="J31" s="17"/>
      <c r="K31" s="47"/>
    </row>
    <row r="32" spans="1:11" x14ac:dyDescent="0.25">
      <c r="A32" s="18">
        <f>VLOOKUP(B32,Data!$I$4:$M$16,4,FALSE)</f>
        <v>0</v>
      </c>
      <c r="B32" s="14" t="s">
        <v>412</v>
      </c>
      <c r="C32" s="358" t="str">
        <f>+VLOOKUP(B32,Data!$G$60:$V$72,2,0)</f>
        <v>-</v>
      </c>
      <c r="D32" s="14" t="s">
        <v>412</v>
      </c>
      <c r="E32" s="14" t="s">
        <v>412</v>
      </c>
      <c r="F32" s="17"/>
      <c r="G32" s="17"/>
      <c r="H32" s="17"/>
      <c r="I32" s="17"/>
      <c r="J32" s="17"/>
      <c r="K32" s="47"/>
    </row>
    <row r="33" spans="1:11" x14ac:dyDescent="0.25">
      <c r="A33" s="28"/>
      <c r="B33" s="28"/>
      <c r="C33" s="358"/>
      <c r="D33" s="14" t="s">
        <v>412</v>
      </c>
      <c r="E33" s="14" t="s">
        <v>412</v>
      </c>
      <c r="F33" s="17"/>
      <c r="G33" s="17"/>
      <c r="H33" s="17"/>
      <c r="I33" s="17"/>
      <c r="J33" s="17"/>
      <c r="K33" s="47"/>
    </row>
    <row r="34" spans="1:11" ht="15.75" thickBot="1" x14ac:dyDescent="0.3">
      <c r="A34" s="28"/>
      <c r="B34" s="28"/>
      <c r="C34" s="358"/>
      <c r="D34" s="14" t="s">
        <v>412</v>
      </c>
      <c r="E34" s="14" t="s">
        <v>412</v>
      </c>
      <c r="F34" s="17"/>
      <c r="G34" s="17"/>
      <c r="H34" s="17"/>
      <c r="I34" s="17"/>
      <c r="J34" s="17"/>
      <c r="K34" s="47"/>
    </row>
    <row r="35" spans="1:11" s="13" customFormat="1" ht="21.75" thickBot="1" x14ac:dyDescent="0.4">
      <c r="A35" s="23" t="str">
        <f>IF(Schip!$I$8&gt;3,"80 Mast","")</f>
        <v>80 Mast</v>
      </c>
      <c r="B35" s="24"/>
      <c r="C35" s="24"/>
      <c r="F35" s="26"/>
      <c r="G35" s="26"/>
      <c r="H35" s="26"/>
      <c r="I35" s="26"/>
      <c r="J35" s="26"/>
      <c r="K35" s="78"/>
    </row>
    <row r="36" spans="1:11" x14ac:dyDescent="0.25">
      <c r="A36" s="18">
        <f>VLOOKUP(B36,Data!$I$4:$M$16,5,FALSE)</f>
        <v>0</v>
      </c>
      <c r="B36" s="14" t="s">
        <v>412</v>
      </c>
      <c r="C36" s="358" t="str">
        <f>+VLOOKUP(B36,Data!$G$60:$V$72,2,0)</f>
        <v>-</v>
      </c>
      <c r="D36" s="14" t="s">
        <v>412</v>
      </c>
      <c r="E36" s="14" t="s">
        <v>412</v>
      </c>
      <c r="F36" s="17"/>
      <c r="G36" s="17"/>
      <c r="H36" s="17"/>
      <c r="I36" s="15"/>
      <c r="J36" s="17"/>
      <c r="K36" s="47"/>
    </row>
    <row r="37" spans="1:11" x14ac:dyDescent="0.25">
      <c r="A37" s="18">
        <f>VLOOKUP(B37,Data!$I$4:$M$16,5,FALSE)</f>
        <v>0</v>
      </c>
      <c r="B37" s="14" t="s">
        <v>412</v>
      </c>
      <c r="C37" s="358" t="str">
        <f>+VLOOKUP(B37,Data!$G$60:$V$72,2,0)</f>
        <v>-</v>
      </c>
      <c r="D37" s="14" t="s">
        <v>412</v>
      </c>
      <c r="E37" s="14" t="s">
        <v>412</v>
      </c>
      <c r="F37" s="17"/>
      <c r="G37" s="17"/>
      <c r="H37" s="17"/>
      <c r="I37" s="17"/>
      <c r="J37" s="17"/>
      <c r="K37" s="47"/>
    </row>
    <row r="38" spans="1:11" x14ac:dyDescent="0.25">
      <c r="A38" s="18">
        <f>VLOOKUP(B38,Data!$I$4:$M$16,5,FALSE)</f>
        <v>0</v>
      </c>
      <c r="B38" s="14" t="s">
        <v>412</v>
      </c>
      <c r="C38" s="358" t="str">
        <f>+VLOOKUP(B38,Data!$G$60:$V$72,2,0)</f>
        <v>-</v>
      </c>
      <c r="D38" s="14" t="s">
        <v>412</v>
      </c>
      <c r="E38" s="14" t="s">
        <v>412</v>
      </c>
      <c r="F38" s="17"/>
      <c r="G38" s="17"/>
      <c r="H38" s="17"/>
      <c r="I38" s="17"/>
      <c r="J38" s="17"/>
      <c r="K38" s="47"/>
    </row>
    <row r="39" spans="1:11" x14ac:dyDescent="0.25">
      <c r="A39" s="18">
        <f>VLOOKUP(B39,Data!$I$4:$M$16,5,FALSE)</f>
        <v>0</v>
      </c>
      <c r="B39" s="14" t="s">
        <v>412</v>
      </c>
      <c r="C39" s="358" t="str">
        <f>+VLOOKUP(B39,Data!$G$60:$V$72,2,0)</f>
        <v>-</v>
      </c>
      <c r="D39" s="14" t="s">
        <v>412</v>
      </c>
      <c r="E39" s="14" t="s">
        <v>412</v>
      </c>
      <c r="F39" s="17"/>
      <c r="G39" s="17"/>
      <c r="H39" s="17"/>
      <c r="I39" s="17"/>
      <c r="J39" s="17"/>
      <c r="K39" s="47"/>
    </row>
    <row r="40" spans="1:11" x14ac:dyDescent="0.25">
      <c r="A40" s="18">
        <f>VLOOKUP(B40,Data!$I$4:$M$16,5,FALSE)</f>
        <v>0</v>
      </c>
      <c r="B40" s="14" t="s">
        <v>412</v>
      </c>
      <c r="C40" s="358" t="str">
        <f>+VLOOKUP(B40,Data!$G$60:$V$72,2,0)</f>
        <v>-</v>
      </c>
      <c r="D40" s="14" t="s">
        <v>412</v>
      </c>
      <c r="E40" s="14" t="s">
        <v>412</v>
      </c>
      <c r="F40" s="17"/>
      <c r="G40" s="17"/>
      <c r="H40" s="17"/>
      <c r="I40" s="17"/>
      <c r="J40" s="17"/>
      <c r="K40" s="47"/>
    </row>
    <row r="41" spans="1:11" x14ac:dyDescent="0.25">
      <c r="A41" s="28"/>
      <c r="B41" s="28"/>
      <c r="C41" s="358"/>
      <c r="D41" s="14" t="s">
        <v>412</v>
      </c>
      <c r="E41" s="14" t="s">
        <v>412</v>
      </c>
      <c r="F41" s="17"/>
      <c r="G41" s="17"/>
      <c r="H41" s="17"/>
      <c r="I41" s="17"/>
      <c r="J41" s="17"/>
      <c r="K41" s="47"/>
    </row>
    <row r="42" spans="1:11" ht="15.75" thickBot="1" x14ac:dyDescent="0.3">
      <c r="A42" s="28"/>
      <c r="B42" s="28"/>
      <c r="C42" s="358"/>
      <c r="D42" s="14" t="s">
        <v>412</v>
      </c>
      <c r="E42" s="14" t="s">
        <v>412</v>
      </c>
      <c r="F42" s="17"/>
      <c r="G42" s="17"/>
      <c r="H42" s="17"/>
      <c r="I42" s="17"/>
      <c r="J42" s="17"/>
      <c r="K42" s="47"/>
    </row>
    <row r="43" spans="1:11" s="13" customFormat="1" ht="21.75" thickBot="1" x14ac:dyDescent="0.4">
      <c r="A43" s="23"/>
      <c r="B43" s="24"/>
      <c r="C43" s="24"/>
      <c r="F43" s="26"/>
      <c r="G43" s="26"/>
      <c r="H43" s="26"/>
      <c r="I43" s="26"/>
      <c r="J43" s="26"/>
      <c r="K43" s="78"/>
    </row>
  </sheetData>
  <mergeCells count="1">
    <mergeCell ref="G3:I3"/>
  </mergeCells>
  <hyperlinks>
    <hyperlink ref="F1" location="Schip!A1" display="Schip!A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00000000-0002-0000-0300-000000000000}">
          <x14:formula1>
            <xm:f>Data!$P$4:$P$30</xm:f>
          </x14:formula1>
          <xm:sqref>E4</xm:sqref>
        </x14:dataValidation>
        <x14:dataValidation type="list" allowBlank="1" showInputMessage="1" showErrorMessage="1" xr:uid="{00000000-0002-0000-0300-000001000000}">
          <x14:formula1>
            <xm:f>Data!$P$4:$P$11</xm:f>
          </x14:formula1>
          <xm:sqref>E5:E10 E20:E26 E12:E18 E28:E34 E36:E42</xm:sqref>
        </x14:dataValidation>
        <x14:dataValidation type="list" allowBlank="1" showInputMessage="1" showErrorMessage="1" xr:uid="{00000000-0002-0000-0300-000002000000}">
          <x14:formula1>
            <xm:f>Data!$G$4:$G$9</xm:f>
          </x14:formula1>
          <xm:sqref>B5:B8</xm:sqref>
        </x14:dataValidation>
        <x14:dataValidation type="list" allowBlank="1" showInputMessage="1" showErrorMessage="1" xr:uid="{00000000-0002-0000-0300-000003000000}">
          <x14:formula1>
            <xm:f>Data!$O$6:$O$33</xm:f>
          </x14:formula1>
          <xm:sqref>D4</xm:sqref>
        </x14:dataValidation>
        <x14:dataValidation type="list" allowBlank="1" showInputMessage="1" showErrorMessage="1" xr:uid="{00000000-0002-0000-0300-000004000000}">
          <x14:formula1>
            <xm:f>Data!$O$4:$O$20</xm:f>
          </x14:formula1>
          <xm:sqref>D5:D10 D20:D26 D12:D18 D28:D34 D36:D42</xm:sqref>
        </x14:dataValidation>
        <x14:dataValidation type="list" allowBlank="1" showInputMessage="1" showErrorMessage="1" xr:uid="{00000000-0002-0000-0300-000005000000}">
          <x14:formula1>
            <xm:f>Data!$I$4:$I$12</xm:f>
          </x14:formula1>
          <xm:sqref>B20:B24 B36:B40 B28:B32 B12:B16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J54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x14ac:dyDescent="0.25"/>
  <cols>
    <col min="2" max="2" width="19.85546875" customWidth="1"/>
    <col min="3" max="3" width="28.42578125" style="19" customWidth="1"/>
    <col min="4" max="4" width="15.42578125" style="19" customWidth="1"/>
    <col min="5" max="5" width="46.5703125" customWidth="1"/>
    <col min="6" max="6" width="53.5703125" customWidth="1"/>
    <col min="7" max="7" width="17.42578125" customWidth="1"/>
    <col min="8" max="8" width="44.5703125" customWidth="1"/>
    <col min="9" max="9" width="38.42578125" customWidth="1"/>
  </cols>
  <sheetData>
    <row r="1" spans="1:10" s="271" customFormat="1" ht="27" thickBot="1" x14ac:dyDescent="0.45">
      <c r="A1" s="271" t="s">
        <v>567</v>
      </c>
      <c r="C1" s="276"/>
      <c r="D1" s="276"/>
      <c r="E1" s="291" t="s">
        <v>595</v>
      </c>
      <c r="F1" s="277" t="s">
        <v>573</v>
      </c>
    </row>
    <row r="2" spans="1:10" ht="29.25" thickBot="1" x14ac:dyDescent="0.5">
      <c r="A2" s="248"/>
      <c r="B2" s="590" t="s">
        <v>554</v>
      </c>
      <c r="C2" s="591"/>
      <c r="D2" s="591"/>
      <c r="E2" s="591"/>
      <c r="F2" s="591"/>
      <c r="G2" s="592"/>
      <c r="H2" s="592"/>
      <c r="I2" s="593"/>
      <c r="J2" s="248"/>
    </row>
    <row r="3" spans="1:10" ht="15.75" customHeight="1" thickBot="1" x14ac:dyDescent="0.3">
      <c r="A3" s="248"/>
      <c r="B3" s="256" t="s">
        <v>149</v>
      </c>
      <c r="C3" s="79" t="s">
        <v>570</v>
      </c>
      <c r="D3" s="79" t="s">
        <v>558</v>
      </c>
      <c r="E3" s="255" t="s">
        <v>555</v>
      </c>
      <c r="F3" s="255" t="s">
        <v>569</v>
      </c>
      <c r="G3" s="255" t="s">
        <v>556</v>
      </c>
      <c r="H3" s="254" t="s">
        <v>408</v>
      </c>
      <c r="I3" s="253" t="s">
        <v>557</v>
      </c>
      <c r="J3" s="249"/>
    </row>
    <row r="4" spans="1:10" ht="20.100000000000001" customHeight="1" x14ac:dyDescent="0.25">
      <c r="A4" s="248"/>
      <c r="B4" s="273"/>
      <c r="C4" s="16"/>
      <c r="D4" s="16"/>
      <c r="E4" s="274"/>
      <c r="F4" s="274"/>
      <c r="G4" s="264"/>
      <c r="H4" s="251"/>
      <c r="I4" s="258"/>
      <c r="J4" s="248"/>
    </row>
    <row r="5" spans="1:10" ht="20.100000000000001" customHeight="1" x14ac:dyDescent="0.25">
      <c r="A5" s="248"/>
      <c r="B5" s="266"/>
      <c r="C5" s="16"/>
      <c r="D5" s="16"/>
      <c r="E5" s="250"/>
      <c r="F5" s="250"/>
      <c r="G5" s="264"/>
      <c r="H5" s="251"/>
      <c r="I5" s="258"/>
      <c r="J5" s="248"/>
    </row>
    <row r="6" spans="1:10" ht="20.100000000000001" customHeight="1" x14ac:dyDescent="0.25">
      <c r="A6" s="248"/>
      <c r="B6" s="266"/>
      <c r="C6" s="16"/>
      <c r="D6" s="16"/>
      <c r="E6" s="250"/>
      <c r="F6" s="250"/>
      <c r="G6" s="264"/>
      <c r="H6" s="251"/>
      <c r="I6" s="258"/>
      <c r="J6" s="248"/>
    </row>
    <row r="7" spans="1:10" ht="20.100000000000001" customHeight="1" x14ac:dyDescent="0.25">
      <c r="A7" s="248"/>
      <c r="B7" s="266"/>
      <c r="C7" s="16"/>
      <c r="D7" s="16"/>
      <c r="E7" s="250"/>
      <c r="F7" s="250"/>
      <c r="G7" s="264"/>
      <c r="H7" s="251"/>
      <c r="I7" s="258"/>
      <c r="J7" s="248"/>
    </row>
    <row r="8" spans="1:10" ht="20.100000000000001" customHeight="1" x14ac:dyDescent="0.25">
      <c r="A8" s="248"/>
      <c r="B8" s="266"/>
      <c r="C8" s="16"/>
      <c r="D8" s="16"/>
      <c r="E8" s="250"/>
      <c r="F8" s="250"/>
      <c r="G8" s="264"/>
      <c r="H8" s="251"/>
      <c r="I8" s="258"/>
      <c r="J8" s="248"/>
    </row>
    <row r="9" spans="1:10" ht="20.100000000000001" customHeight="1" x14ac:dyDescent="0.25">
      <c r="A9" s="248"/>
      <c r="B9" s="266"/>
      <c r="C9" s="16"/>
      <c r="D9" s="16"/>
      <c r="E9" s="250"/>
      <c r="F9" s="250"/>
      <c r="G9" s="264"/>
      <c r="H9" s="251"/>
      <c r="I9" s="258"/>
      <c r="J9" s="248"/>
    </row>
    <row r="10" spans="1:10" ht="20.100000000000001" customHeight="1" x14ac:dyDescent="0.25">
      <c r="A10" s="248"/>
      <c r="B10" s="266"/>
      <c r="C10" s="16"/>
      <c r="D10" s="16"/>
      <c r="E10" s="250"/>
      <c r="F10" s="250"/>
      <c r="G10" s="264"/>
      <c r="H10" s="251"/>
      <c r="I10" s="258"/>
      <c r="J10" s="248"/>
    </row>
    <row r="11" spans="1:10" ht="20.100000000000001" customHeight="1" x14ac:dyDescent="0.25">
      <c r="A11" s="248"/>
      <c r="B11" s="266"/>
      <c r="C11" s="16"/>
      <c r="D11" s="16"/>
      <c r="E11" s="250"/>
      <c r="F11" s="250"/>
      <c r="G11" s="264"/>
      <c r="H11" s="251"/>
      <c r="I11" s="258"/>
      <c r="J11" s="248"/>
    </row>
    <row r="12" spans="1:10" ht="20.100000000000001" customHeight="1" x14ac:dyDescent="0.25">
      <c r="A12" s="248"/>
      <c r="B12" s="266"/>
      <c r="C12" s="16"/>
      <c r="D12" s="16"/>
      <c r="E12" s="250"/>
      <c r="F12" s="250"/>
      <c r="G12" s="264"/>
      <c r="H12" s="251"/>
      <c r="I12" s="258"/>
      <c r="J12" s="248"/>
    </row>
    <row r="13" spans="1:10" ht="20.100000000000001" customHeight="1" x14ac:dyDescent="0.25">
      <c r="A13" s="248"/>
      <c r="B13" s="266"/>
      <c r="C13" s="16"/>
      <c r="D13" s="16"/>
      <c r="E13" s="250"/>
      <c r="F13" s="250"/>
      <c r="G13" s="264"/>
      <c r="H13" s="251"/>
      <c r="I13" s="258"/>
      <c r="J13" s="248"/>
    </row>
    <row r="14" spans="1:10" ht="20.100000000000001" customHeight="1" x14ac:dyDescent="0.25">
      <c r="A14" s="248"/>
      <c r="B14" s="266"/>
      <c r="C14" s="16"/>
      <c r="D14" s="16"/>
      <c r="E14" s="250"/>
      <c r="F14" s="250"/>
      <c r="G14" s="264"/>
      <c r="H14" s="251"/>
      <c r="I14" s="258"/>
      <c r="J14" s="248"/>
    </row>
    <row r="15" spans="1:10" ht="20.100000000000001" customHeight="1" x14ac:dyDescent="0.25">
      <c r="A15" s="248"/>
      <c r="B15" s="266"/>
      <c r="C15" s="16"/>
      <c r="D15" s="16"/>
      <c r="E15" s="250"/>
      <c r="F15" s="250"/>
      <c r="G15" s="264"/>
      <c r="H15" s="251"/>
      <c r="I15" s="258"/>
      <c r="J15" s="248"/>
    </row>
    <row r="16" spans="1:10" ht="20.100000000000001" customHeight="1" x14ac:dyDescent="0.25">
      <c r="A16" s="248"/>
      <c r="B16" s="266"/>
      <c r="C16" s="16"/>
      <c r="D16" s="16"/>
      <c r="E16" s="250"/>
      <c r="F16" s="250"/>
      <c r="G16" s="264"/>
      <c r="H16" s="251"/>
      <c r="I16" s="258"/>
      <c r="J16" s="248"/>
    </row>
    <row r="17" spans="1:10" ht="20.100000000000001" customHeight="1" x14ac:dyDescent="0.25">
      <c r="A17" s="248"/>
      <c r="B17" s="266"/>
      <c r="C17" s="16"/>
      <c r="D17" s="16"/>
      <c r="E17" s="250"/>
      <c r="F17" s="250"/>
      <c r="G17" s="264"/>
      <c r="H17" s="251"/>
      <c r="I17" s="258"/>
      <c r="J17" s="248"/>
    </row>
    <row r="18" spans="1:10" ht="20.100000000000001" customHeight="1" x14ac:dyDescent="0.25">
      <c r="A18" s="248"/>
      <c r="B18" s="266"/>
      <c r="C18" s="16"/>
      <c r="D18" s="16"/>
      <c r="E18" s="250"/>
      <c r="F18" s="250"/>
      <c r="G18" s="264"/>
      <c r="H18" s="251"/>
      <c r="I18" s="258"/>
      <c r="J18" s="248"/>
    </row>
    <row r="19" spans="1:10" ht="20.100000000000001" customHeight="1" x14ac:dyDescent="0.25">
      <c r="A19" s="248"/>
      <c r="B19" s="266"/>
      <c r="C19" s="16"/>
      <c r="D19" s="16"/>
      <c r="E19" s="250"/>
      <c r="F19" s="250"/>
      <c r="G19" s="264"/>
      <c r="H19" s="251"/>
      <c r="I19" s="258"/>
      <c r="J19" s="248"/>
    </row>
    <row r="20" spans="1:10" ht="20.100000000000001" customHeight="1" x14ac:dyDescent="0.25">
      <c r="A20" s="248"/>
      <c r="B20" s="266"/>
      <c r="C20" s="16"/>
      <c r="D20" s="16"/>
      <c r="E20" s="250"/>
      <c r="F20" s="250"/>
      <c r="G20" s="264"/>
      <c r="H20" s="251"/>
      <c r="I20" s="258"/>
      <c r="J20" s="248"/>
    </row>
    <row r="21" spans="1:10" ht="20.100000000000001" customHeight="1" x14ac:dyDescent="0.25">
      <c r="A21" s="248"/>
      <c r="B21" s="266"/>
      <c r="C21" s="16"/>
      <c r="D21" s="16"/>
      <c r="E21" s="250"/>
      <c r="F21" s="250"/>
      <c r="G21" s="264"/>
      <c r="H21" s="251"/>
      <c r="I21" s="258"/>
      <c r="J21" s="248"/>
    </row>
    <row r="22" spans="1:10" ht="20.100000000000001" customHeight="1" x14ac:dyDescent="0.25">
      <c r="A22" s="248"/>
      <c r="B22" s="266"/>
      <c r="C22" s="16"/>
      <c r="D22" s="16"/>
      <c r="E22" s="250"/>
      <c r="F22" s="250"/>
      <c r="G22" s="264"/>
      <c r="H22" s="251"/>
      <c r="I22" s="258"/>
      <c r="J22" s="248"/>
    </row>
    <row r="23" spans="1:10" ht="20.100000000000001" customHeight="1" x14ac:dyDescent="0.25">
      <c r="A23" s="248"/>
      <c r="B23" s="266"/>
      <c r="C23" s="16"/>
      <c r="D23" s="16"/>
      <c r="E23" s="250"/>
      <c r="F23" s="250"/>
      <c r="G23" s="264"/>
      <c r="H23" s="251"/>
      <c r="I23" s="258"/>
      <c r="J23" s="248"/>
    </row>
    <row r="24" spans="1:10" ht="20.100000000000001" customHeight="1" x14ac:dyDescent="0.25">
      <c r="A24" s="248"/>
      <c r="B24" s="266"/>
      <c r="C24" s="16"/>
      <c r="D24" s="16"/>
      <c r="E24" s="250"/>
      <c r="F24" s="250"/>
      <c r="G24" s="264"/>
      <c r="H24" s="251"/>
      <c r="I24" s="258"/>
      <c r="J24" s="248"/>
    </row>
    <row r="25" spans="1:10" ht="20.100000000000001" customHeight="1" x14ac:dyDescent="0.25">
      <c r="A25" s="248"/>
      <c r="B25" s="266"/>
      <c r="C25" s="16"/>
      <c r="D25" s="16"/>
      <c r="E25" s="250"/>
      <c r="F25" s="250"/>
      <c r="G25" s="264"/>
      <c r="H25" s="251"/>
      <c r="I25" s="258"/>
      <c r="J25" s="248"/>
    </row>
    <row r="26" spans="1:10" ht="20.100000000000001" customHeight="1" x14ac:dyDescent="0.25">
      <c r="A26" s="248"/>
      <c r="B26" s="266"/>
      <c r="C26" s="16"/>
      <c r="D26" s="16"/>
      <c r="E26" s="250"/>
      <c r="F26" s="250"/>
      <c r="G26" s="264"/>
      <c r="H26" s="251"/>
      <c r="I26" s="258"/>
      <c r="J26" s="248"/>
    </row>
    <row r="27" spans="1:10" ht="20.100000000000001" customHeight="1" x14ac:dyDescent="0.25">
      <c r="A27" s="248"/>
      <c r="B27" s="266"/>
      <c r="C27" s="16"/>
      <c r="D27" s="16"/>
      <c r="E27" s="250"/>
      <c r="F27" s="250"/>
      <c r="G27" s="264"/>
      <c r="H27" s="251"/>
      <c r="I27" s="258"/>
      <c r="J27" s="248"/>
    </row>
    <row r="28" spans="1:10" ht="20.100000000000001" customHeight="1" x14ac:dyDescent="0.25">
      <c r="A28" s="248"/>
      <c r="B28" s="266"/>
      <c r="C28" s="16"/>
      <c r="D28" s="16"/>
      <c r="E28" s="250"/>
      <c r="F28" s="250"/>
      <c r="G28" s="264"/>
      <c r="H28" s="251"/>
      <c r="I28" s="258"/>
      <c r="J28" s="248"/>
    </row>
    <row r="29" spans="1:10" ht="20.100000000000001" customHeight="1" x14ac:dyDescent="0.25">
      <c r="A29" s="248"/>
      <c r="B29" s="266"/>
      <c r="C29" s="16"/>
      <c r="D29" s="16"/>
      <c r="E29" s="250"/>
      <c r="F29" s="250"/>
      <c r="G29" s="264"/>
      <c r="H29" s="251"/>
      <c r="I29" s="258"/>
      <c r="J29" s="248"/>
    </row>
    <row r="30" spans="1:10" ht="20.100000000000001" customHeight="1" x14ac:dyDescent="0.25">
      <c r="A30" s="248"/>
      <c r="B30" s="266"/>
      <c r="C30" s="16"/>
      <c r="D30" s="16"/>
      <c r="E30" s="250"/>
      <c r="F30" s="250"/>
      <c r="G30" s="264"/>
      <c r="H30" s="251"/>
      <c r="I30" s="258"/>
      <c r="J30" s="248"/>
    </row>
    <row r="31" spans="1:10" ht="20.100000000000001" customHeight="1" x14ac:dyDescent="0.25">
      <c r="A31" s="248"/>
      <c r="B31" s="266"/>
      <c r="C31" s="16"/>
      <c r="D31" s="16"/>
      <c r="E31" s="250"/>
      <c r="F31" s="250"/>
      <c r="G31" s="264"/>
      <c r="H31" s="251"/>
      <c r="I31" s="258"/>
      <c r="J31" s="248"/>
    </row>
    <row r="32" spans="1:10" ht="20.100000000000001" customHeight="1" x14ac:dyDescent="0.25">
      <c r="A32" s="248"/>
      <c r="B32" s="266"/>
      <c r="C32" s="16"/>
      <c r="D32" s="16"/>
      <c r="E32" s="250"/>
      <c r="F32" s="250"/>
      <c r="G32" s="264"/>
      <c r="H32" s="251"/>
      <c r="I32" s="258"/>
      <c r="J32" s="248"/>
    </row>
    <row r="33" spans="1:10" ht="20.100000000000001" customHeight="1" x14ac:dyDescent="0.25">
      <c r="A33" s="248"/>
      <c r="B33" s="266"/>
      <c r="C33" s="16"/>
      <c r="D33" s="16"/>
      <c r="E33" s="250"/>
      <c r="F33" s="250"/>
      <c r="G33" s="264"/>
      <c r="H33" s="251"/>
      <c r="I33" s="258"/>
      <c r="J33" s="248"/>
    </row>
    <row r="34" spans="1:10" ht="20.100000000000001" customHeight="1" x14ac:dyDescent="0.25">
      <c r="A34" s="248"/>
      <c r="B34" s="266"/>
      <c r="C34" s="16"/>
      <c r="D34" s="16"/>
      <c r="E34" s="250"/>
      <c r="F34" s="250"/>
      <c r="G34" s="264"/>
      <c r="H34" s="251"/>
      <c r="I34" s="258"/>
      <c r="J34" s="248"/>
    </row>
    <row r="35" spans="1:10" ht="20.100000000000001" customHeight="1" x14ac:dyDescent="0.25">
      <c r="A35" s="248"/>
      <c r="B35" s="266"/>
      <c r="C35" s="16"/>
      <c r="D35" s="16"/>
      <c r="E35" s="250"/>
      <c r="F35" s="250"/>
      <c r="G35" s="264"/>
      <c r="H35" s="251"/>
      <c r="I35" s="258"/>
      <c r="J35" s="248"/>
    </row>
    <row r="36" spans="1:10" ht="20.100000000000001" customHeight="1" x14ac:dyDescent="0.25">
      <c r="A36" s="248"/>
      <c r="B36" s="266"/>
      <c r="C36" s="16"/>
      <c r="D36" s="16"/>
      <c r="E36" s="250"/>
      <c r="F36" s="250"/>
      <c r="G36" s="264"/>
      <c r="H36" s="251"/>
      <c r="I36" s="258"/>
      <c r="J36" s="248"/>
    </row>
    <row r="37" spans="1:10" ht="20.100000000000001" customHeight="1" x14ac:dyDescent="0.25">
      <c r="A37" s="248"/>
      <c r="B37" s="266"/>
      <c r="C37" s="16"/>
      <c r="D37" s="16"/>
      <c r="E37" s="250"/>
      <c r="F37" s="250"/>
      <c r="G37" s="264"/>
      <c r="H37" s="251"/>
      <c r="I37" s="258"/>
      <c r="J37" s="248"/>
    </row>
    <row r="38" spans="1:10" ht="20.100000000000001" customHeight="1" x14ac:dyDescent="0.25">
      <c r="A38" s="248"/>
      <c r="B38" s="266"/>
      <c r="C38" s="16"/>
      <c r="D38" s="16"/>
      <c r="E38" s="250"/>
      <c r="F38" s="250"/>
      <c r="G38" s="264"/>
      <c r="H38" s="251"/>
      <c r="I38" s="258"/>
      <c r="J38" s="248"/>
    </row>
    <row r="39" spans="1:10" ht="20.100000000000001" customHeight="1" x14ac:dyDescent="0.25">
      <c r="A39" s="248"/>
      <c r="B39" s="266"/>
      <c r="C39" s="16"/>
      <c r="D39" s="16"/>
      <c r="E39" s="250"/>
      <c r="F39" s="250"/>
      <c r="G39" s="264"/>
      <c r="H39" s="251"/>
      <c r="I39" s="259"/>
      <c r="J39" s="249"/>
    </row>
    <row r="40" spans="1:10" ht="20.100000000000001" customHeight="1" x14ac:dyDescent="0.25">
      <c r="A40" s="248"/>
      <c r="B40" s="266"/>
      <c r="C40" s="16"/>
      <c r="D40" s="16"/>
      <c r="E40" s="250"/>
      <c r="F40" s="250"/>
      <c r="G40" s="264"/>
      <c r="H40" s="251"/>
      <c r="I40" s="257"/>
      <c r="J40" s="248"/>
    </row>
    <row r="41" spans="1:10" ht="20.100000000000001" customHeight="1" x14ac:dyDescent="0.25">
      <c r="A41" s="248"/>
      <c r="B41" s="266"/>
      <c r="C41" s="16"/>
      <c r="D41" s="16"/>
      <c r="E41" s="250"/>
      <c r="F41" s="250"/>
      <c r="G41" s="264"/>
      <c r="H41" s="251"/>
      <c r="I41" s="257"/>
      <c r="J41" s="248"/>
    </row>
    <row r="42" spans="1:10" ht="20.100000000000001" customHeight="1" x14ac:dyDescent="0.25">
      <c r="A42" s="248"/>
      <c r="B42" s="266"/>
      <c r="C42" s="16"/>
      <c r="D42" s="16"/>
      <c r="E42" s="250"/>
      <c r="F42" s="250"/>
      <c r="G42" s="264"/>
      <c r="H42" s="251"/>
      <c r="I42" s="257"/>
      <c r="J42" s="248"/>
    </row>
    <row r="43" spans="1:10" ht="20.100000000000001" customHeight="1" x14ac:dyDescent="0.25">
      <c r="A43" s="248"/>
      <c r="B43" s="266"/>
      <c r="C43" s="16"/>
      <c r="D43" s="16"/>
      <c r="E43" s="250"/>
      <c r="F43" s="250"/>
      <c r="G43" s="264"/>
      <c r="H43" s="251"/>
      <c r="I43" s="258"/>
      <c r="J43" s="248"/>
    </row>
    <row r="44" spans="1:10" ht="20.100000000000001" customHeight="1" x14ac:dyDescent="0.25">
      <c r="A44" s="248"/>
      <c r="B44" s="266"/>
      <c r="C44" s="16"/>
      <c r="D44" s="16"/>
      <c r="E44" s="250"/>
      <c r="F44" s="250"/>
      <c r="G44" s="264"/>
      <c r="H44" s="251"/>
      <c r="I44" s="261"/>
      <c r="J44" s="249"/>
    </row>
    <row r="45" spans="1:10" ht="20.100000000000001" customHeight="1" x14ac:dyDescent="0.25">
      <c r="B45" s="266"/>
      <c r="C45" s="16"/>
      <c r="D45" s="16"/>
      <c r="E45" s="250"/>
      <c r="F45" s="250"/>
      <c r="G45" s="264"/>
      <c r="H45" s="251"/>
      <c r="I45" s="257"/>
    </row>
    <row r="46" spans="1:10" ht="20.100000000000001" customHeight="1" x14ac:dyDescent="0.25">
      <c r="B46" s="266"/>
      <c r="C46" s="16"/>
      <c r="D46" s="16"/>
      <c r="E46" s="250"/>
      <c r="F46" s="250"/>
      <c r="G46" s="264"/>
      <c r="H46" s="251"/>
      <c r="I46" s="258"/>
    </row>
    <row r="47" spans="1:10" ht="20.100000000000001" customHeight="1" x14ac:dyDescent="0.25">
      <c r="B47" s="266"/>
      <c r="C47" s="16"/>
      <c r="D47" s="16"/>
      <c r="E47" s="250"/>
      <c r="F47" s="250"/>
      <c r="G47" s="264"/>
      <c r="H47" s="251"/>
      <c r="I47" s="258"/>
    </row>
    <row r="48" spans="1:10" ht="20.100000000000001" customHeight="1" x14ac:dyDescent="0.25">
      <c r="B48" s="266"/>
      <c r="C48" s="16"/>
      <c r="D48" s="16"/>
      <c r="E48" s="250"/>
      <c r="F48" s="250"/>
      <c r="G48" s="264"/>
      <c r="H48" s="251"/>
      <c r="I48" s="262"/>
    </row>
    <row r="49" spans="2:9" ht="20.100000000000001" customHeight="1" x14ac:dyDescent="0.25">
      <c r="B49" s="266"/>
      <c r="C49" s="16"/>
      <c r="D49" s="16"/>
      <c r="E49" s="250"/>
      <c r="F49" s="250"/>
      <c r="G49" s="264"/>
      <c r="H49" s="251"/>
      <c r="I49" s="257"/>
    </row>
    <row r="50" spans="2:9" ht="20.100000000000001" customHeight="1" x14ac:dyDescent="0.25">
      <c r="B50" s="266"/>
      <c r="C50" s="16"/>
      <c r="D50" s="16"/>
      <c r="E50" s="250"/>
      <c r="F50" s="250"/>
      <c r="G50" s="264"/>
      <c r="H50" s="251"/>
      <c r="I50" s="257"/>
    </row>
    <row r="51" spans="2:9" ht="20.100000000000001" customHeight="1" x14ac:dyDescent="0.25">
      <c r="B51" s="266"/>
      <c r="C51" s="16"/>
      <c r="D51" s="16"/>
      <c r="E51" s="250"/>
      <c r="F51" s="250"/>
      <c r="G51" s="264"/>
      <c r="H51" s="251"/>
      <c r="I51" s="258"/>
    </row>
    <row r="52" spans="2:9" ht="20.100000000000001" customHeight="1" x14ac:dyDescent="0.25">
      <c r="B52" s="266"/>
      <c r="C52" s="16"/>
      <c r="D52" s="16"/>
      <c r="E52" s="250"/>
      <c r="F52" s="250"/>
      <c r="G52" s="264"/>
      <c r="H52" s="251"/>
      <c r="I52" s="263"/>
    </row>
    <row r="53" spans="2:9" ht="20.100000000000001" customHeight="1" x14ac:dyDescent="0.25">
      <c r="B53" s="266"/>
      <c r="C53" s="16"/>
      <c r="D53" s="16"/>
      <c r="E53" s="250"/>
      <c r="F53" s="250"/>
      <c r="G53" s="264"/>
      <c r="H53" s="251"/>
      <c r="I53" s="257"/>
    </row>
    <row r="54" spans="2:9" ht="20.100000000000001" customHeight="1" thickBot="1" x14ac:dyDescent="0.3">
      <c r="B54" s="267"/>
      <c r="C54" s="16"/>
      <c r="D54" s="16"/>
      <c r="E54" s="250"/>
      <c r="F54" s="275"/>
      <c r="G54" s="265"/>
      <c r="H54" s="252"/>
      <c r="I54" s="260"/>
    </row>
  </sheetData>
  <mergeCells count="1">
    <mergeCell ref="B2:I2"/>
  </mergeCells>
  <conditionalFormatting sqref="D4:D54">
    <cfRule type="containsText" dxfId="5" priority="1" operator="containsText" text="Slecht">
      <formula>NOT(ISERROR(SEARCH("Slecht",D4)))</formula>
    </cfRule>
    <cfRule type="containsText" dxfId="4" priority="2" operator="containsText" text="Goed">
      <formula>NOT(ISERROR(SEARCH("Goed",D4)))</formula>
    </cfRule>
  </conditionalFormatting>
  <hyperlinks>
    <hyperlink ref="F1" location="Schip!A1" display="Schip!A1" xr:uid="{00000000-0004-0000-04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Data!$BM$4:$BM$8</xm:f>
          </x14:formula1>
          <xm:sqref>D4:D54</xm:sqref>
        </x14:dataValidation>
        <x14:dataValidation type="list" allowBlank="1" showInputMessage="1" showErrorMessage="1" xr:uid="{00000000-0002-0000-0400-000001000000}">
          <x14:formula1>
            <xm:f>Data!$G$61:$G$68</xm:f>
          </x14:formula1>
          <xm:sqref>C4:C54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Y8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8" sqref="K8"/>
    </sheetView>
  </sheetViews>
  <sheetFormatPr defaultColWidth="9.140625" defaultRowHeight="15" x14ac:dyDescent="0.25"/>
  <cols>
    <col min="1" max="1" width="24.42578125" customWidth="1"/>
    <col min="2" max="2" width="34" style="18" customWidth="1"/>
    <col min="3" max="3" width="12" style="18" customWidth="1"/>
    <col min="4" max="4" width="6.5703125" style="18" customWidth="1"/>
    <col min="5" max="5" width="17.5703125" style="18" customWidth="1"/>
    <col min="6" max="6" width="14.5703125" style="18" customWidth="1"/>
    <col min="7" max="7" width="10.42578125" style="18" customWidth="1"/>
    <col min="8" max="8" width="12.42578125" style="18" customWidth="1"/>
    <col min="9" max="9" width="18" style="18" customWidth="1"/>
    <col min="10" max="11" width="12.85546875" style="18" customWidth="1"/>
    <col min="12" max="12" width="10.5703125" style="18" customWidth="1"/>
    <col min="13" max="13" width="12.42578125" style="18" customWidth="1"/>
    <col min="14" max="15" width="12.5703125" style="97" customWidth="1"/>
    <col min="16" max="16" width="15.5703125" style="18" customWidth="1"/>
    <col min="17" max="17" width="15.5703125" style="97" customWidth="1"/>
    <col min="18" max="18" width="86.140625" customWidth="1"/>
    <col min="19" max="16384" width="9.140625" style="1"/>
  </cols>
  <sheetData>
    <row r="1" spans="1:25" s="367" customFormat="1" ht="24" thickBot="1" x14ac:dyDescent="0.4">
      <c r="A1" s="368" t="s">
        <v>97</v>
      </c>
      <c r="B1" s="369" t="s">
        <v>594</v>
      </c>
      <c r="C1" s="370" t="s">
        <v>573</v>
      </c>
      <c r="D1" s="370"/>
      <c r="E1" s="20" t="s">
        <v>62</v>
      </c>
      <c r="F1" s="21" t="s">
        <v>70</v>
      </c>
      <c r="J1" s="537" t="s">
        <v>848</v>
      </c>
      <c r="K1" s="371"/>
      <c r="L1" s="370" t="s">
        <v>850</v>
      </c>
      <c r="M1" s="371"/>
      <c r="N1" s="371"/>
      <c r="O1" s="371"/>
      <c r="P1" s="372"/>
      <c r="Q1" s="371"/>
      <c r="R1" s="95"/>
      <c r="S1" s="366"/>
    </row>
    <row r="2" spans="1:25" s="367" customFormat="1" ht="19.5" thickBot="1" x14ac:dyDescent="0.35">
      <c r="A2" s="364" t="s">
        <v>80</v>
      </c>
      <c r="B2" s="594" t="s">
        <v>601</v>
      </c>
      <c r="C2" s="595"/>
      <c r="D2" s="425"/>
      <c r="E2" s="594" t="s">
        <v>98</v>
      </c>
      <c r="F2" s="597"/>
      <c r="G2" s="597"/>
      <c r="H2" s="597"/>
      <c r="I2" s="598"/>
      <c r="J2" s="599" t="s">
        <v>102</v>
      </c>
      <c r="K2" s="600"/>
      <c r="L2" s="600"/>
      <c r="M2" s="601"/>
      <c r="N2" s="600" t="s">
        <v>103</v>
      </c>
      <c r="O2" s="601"/>
      <c r="P2" s="594" t="s">
        <v>530</v>
      </c>
      <c r="Q2" s="596"/>
      <c r="R2" s="365" t="s">
        <v>409</v>
      </c>
      <c r="S2" s="366"/>
    </row>
    <row r="3" spans="1:25" s="339" customFormat="1" ht="21.75" thickBot="1" x14ac:dyDescent="0.4">
      <c r="A3" s="361"/>
      <c r="B3" s="360" t="s">
        <v>1</v>
      </c>
      <c r="C3" s="397" t="s">
        <v>104</v>
      </c>
      <c r="D3" s="435" t="s">
        <v>666</v>
      </c>
      <c r="E3" s="360" t="s">
        <v>4</v>
      </c>
      <c r="F3" s="360" t="s">
        <v>99</v>
      </c>
      <c r="G3" s="362" t="s">
        <v>309</v>
      </c>
      <c r="H3" s="398" t="s">
        <v>772</v>
      </c>
      <c r="I3" s="363" t="s">
        <v>100</v>
      </c>
      <c r="J3" s="341" t="s">
        <v>5</v>
      </c>
      <c r="K3" s="341" t="s">
        <v>4</v>
      </c>
      <c r="L3" s="340" t="s">
        <v>309</v>
      </c>
      <c r="M3" s="340" t="s">
        <v>772</v>
      </c>
      <c r="N3" s="340" t="s">
        <v>5</v>
      </c>
      <c r="O3" s="340" t="s">
        <v>782</v>
      </c>
      <c r="P3" s="342"/>
      <c r="Q3" s="343"/>
      <c r="R3" s="345"/>
      <c r="S3" s="346"/>
    </row>
    <row r="4" spans="1:25" s="339" customFormat="1" ht="19.5" thickBot="1" x14ac:dyDescent="0.35">
      <c r="A4" s="361"/>
      <c r="B4" s="380"/>
      <c r="C4" s="378" t="s">
        <v>766</v>
      </c>
      <c r="D4" s="434"/>
      <c r="E4" s="348"/>
      <c r="F4" s="349"/>
      <c r="G4" s="441" t="s">
        <v>311</v>
      </c>
      <c r="H4" s="377" t="s">
        <v>461</v>
      </c>
      <c r="I4" s="382"/>
      <c r="J4" s="423"/>
      <c r="L4" s="424" t="s">
        <v>781</v>
      </c>
      <c r="M4" s="381" t="s">
        <v>461</v>
      </c>
      <c r="N4" s="361"/>
      <c r="O4" s="432" t="s">
        <v>461</v>
      </c>
      <c r="P4" s="383"/>
      <c r="Q4" s="344"/>
      <c r="R4" s="345"/>
      <c r="S4" s="346"/>
    </row>
    <row r="5" spans="1:25" s="29" customFormat="1" ht="21.75" thickBot="1" x14ac:dyDescent="0.4">
      <c r="A5" s="32" t="s">
        <v>92</v>
      </c>
      <c r="B5" s="268"/>
      <c r="I5" s="350"/>
      <c r="J5" s="602"/>
      <c r="K5" s="603"/>
      <c r="L5" s="603"/>
      <c r="M5" s="604"/>
      <c r="N5" s="605"/>
      <c r="O5" s="606"/>
      <c r="P5" s="235"/>
      <c r="Q5" s="96"/>
      <c r="R5" s="39"/>
      <c r="S5" s="333"/>
    </row>
    <row r="6" spans="1:25" s="12" customFormat="1" x14ac:dyDescent="0.25">
      <c r="A6" s="94">
        <f>VLOOKUP(B6,Data!$U$4:$V$7,2,FALSE)</f>
        <v>0</v>
      </c>
      <c r="B6" s="36" t="s">
        <v>412</v>
      </c>
      <c r="C6" s="15"/>
      <c r="D6" s="358" t="str">
        <f>+VLOOKUP(B6,Data!$U$60:$V$89,2,0)</f>
        <v>-</v>
      </c>
      <c r="E6" s="36" t="s">
        <v>412</v>
      </c>
      <c r="F6" s="36" t="s">
        <v>412</v>
      </c>
      <c r="G6" s="36"/>
      <c r="H6" s="307">
        <f>IF(G6&gt;0,VLOOKUP(F6&amp;E6&amp;G6,Data!$AC$60:$AF$382,4,0),0)</f>
        <v>0</v>
      </c>
      <c r="I6" s="36"/>
      <c r="J6" s="36" t="s">
        <v>412</v>
      </c>
      <c r="K6" s="36" t="s">
        <v>412</v>
      </c>
      <c r="L6" s="36"/>
      <c r="M6" s="243">
        <f>IF(L6&gt;0,VLOOKUP(K6&amp;L6,Data!$AI$60:$AL$402,4,0),0)</f>
        <v>0</v>
      </c>
      <c r="N6" s="15"/>
      <c r="O6" s="579">
        <v>0</v>
      </c>
      <c r="P6" s="15"/>
      <c r="Q6" s="144"/>
      <c r="R6" s="45"/>
    </row>
    <row r="7" spans="1:25" x14ac:dyDescent="0.25">
      <c r="A7" s="18">
        <f>VLOOKUP(B7,Data!$U$4:$V$7,2,FALSE)</f>
        <v>0</v>
      </c>
      <c r="B7" s="36" t="s">
        <v>412</v>
      </c>
      <c r="C7" s="17"/>
      <c r="D7" s="358" t="str">
        <f>+VLOOKUP(B7,Data!$U$60:$V$89,2,0)</f>
        <v>-</v>
      </c>
      <c r="E7" s="36" t="s">
        <v>412</v>
      </c>
      <c r="F7" s="36" t="s">
        <v>412</v>
      </c>
      <c r="G7" s="36"/>
      <c r="H7" s="307">
        <f>IF(G7&gt;0,VLOOKUP(F7&amp;E7&amp;G7,Data!$AC$60:$AF$382,4,0),0)</f>
        <v>0</v>
      </c>
      <c r="I7" s="36"/>
      <c r="J7" s="36" t="s">
        <v>412</v>
      </c>
      <c r="K7" s="36" t="s">
        <v>412</v>
      </c>
      <c r="L7" s="36"/>
      <c r="M7" s="243">
        <f>IF(L7&gt;0,VLOOKUP(K7&amp;L7,Data!$AI$60:$AL$402,4,0),0)</f>
        <v>0</v>
      </c>
      <c r="N7" s="17"/>
      <c r="O7" s="579">
        <v>0</v>
      </c>
      <c r="P7" s="17"/>
      <c r="Q7" s="145"/>
      <c r="R7" s="47"/>
    </row>
    <row r="8" spans="1:25" x14ac:dyDescent="0.25">
      <c r="A8" s="18">
        <f>VLOOKUP(B8,Data!$U$4:$V$7,2,FALSE)</f>
        <v>0</v>
      </c>
      <c r="B8" s="36" t="s">
        <v>412</v>
      </c>
      <c r="C8" s="17"/>
      <c r="D8" s="358" t="str">
        <f>+VLOOKUP(B8,Data!$U$60:$V$89,2,0)</f>
        <v>-</v>
      </c>
      <c r="E8" s="36" t="s">
        <v>412</v>
      </c>
      <c r="F8" s="36" t="s">
        <v>412</v>
      </c>
      <c r="G8" s="36"/>
      <c r="H8" s="307">
        <f>IF(G8&gt;0,VLOOKUP(F8&amp;E8&amp;G8,Data!$AC$60:$AF$382,4,0),0)</f>
        <v>0</v>
      </c>
      <c r="I8" s="36"/>
      <c r="J8" s="36" t="s">
        <v>412</v>
      </c>
      <c r="K8" s="36" t="s">
        <v>412</v>
      </c>
      <c r="L8" s="36"/>
      <c r="M8" s="243">
        <f>IF(L8&gt;0,VLOOKUP(K8&amp;L8,Data!$AI$60:$AL$402,4,0),0)</f>
        <v>0</v>
      </c>
      <c r="N8" s="17"/>
      <c r="O8" s="579">
        <v>0</v>
      </c>
      <c r="P8" s="17"/>
      <c r="Q8" s="145"/>
      <c r="R8" s="47"/>
    </row>
    <row r="9" spans="1:25" s="27" customFormat="1" ht="15.75" thickBot="1" x14ac:dyDescent="0.3">
      <c r="A9" s="17"/>
      <c r="B9" s="17"/>
      <c r="C9" s="28"/>
      <c r="D9" s="436"/>
      <c r="E9" s="36" t="s">
        <v>412</v>
      </c>
      <c r="F9" s="36" t="s">
        <v>412</v>
      </c>
      <c r="G9" s="36"/>
      <c r="H9" s="307">
        <f>IF(G9&gt;0,VLOOKUP(F9&amp;E9&amp;G9,Data!$AC$60:$AF$382,4,0),0)</f>
        <v>0</v>
      </c>
      <c r="I9" s="36"/>
      <c r="J9" s="36" t="s">
        <v>412</v>
      </c>
      <c r="K9" s="36" t="s">
        <v>412</v>
      </c>
      <c r="L9" s="36"/>
      <c r="M9" s="243">
        <f>IF(L9&gt;0,VLOOKUP(K9&amp;L9,Data!$AI$60:$AL$402,4,0),0)</f>
        <v>0</v>
      </c>
      <c r="N9" s="28"/>
      <c r="O9" s="579">
        <v>0</v>
      </c>
      <c r="P9" s="28"/>
      <c r="Q9" s="146"/>
      <c r="R9" s="48"/>
    </row>
    <row r="10" spans="1:25" s="34" customFormat="1" ht="21.75" thickBot="1" x14ac:dyDescent="0.4">
      <c r="A10" s="33" t="s">
        <v>95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244"/>
      <c r="N10" s="38"/>
      <c r="O10" s="38"/>
      <c r="P10" s="234"/>
      <c r="Q10" s="38"/>
      <c r="R10" s="38"/>
      <c r="S10" s="234"/>
      <c r="T10" s="38"/>
      <c r="U10" s="38"/>
      <c r="Y10" s="40"/>
    </row>
    <row r="11" spans="1:25" s="12" customFormat="1" x14ac:dyDescent="0.25">
      <c r="A11" s="18">
        <f>VLOOKUP(B11,Data!$W$4:$Y$18,3,FALSE)</f>
        <v>0</v>
      </c>
      <c r="B11" s="36" t="s">
        <v>412</v>
      </c>
      <c r="C11" s="15"/>
      <c r="D11" s="358" t="str">
        <f>+VLOOKUP(B11,Data!$U$60:$V$89,2,0)</f>
        <v>-</v>
      </c>
      <c r="E11" s="36" t="s">
        <v>412</v>
      </c>
      <c r="F11" s="36" t="s">
        <v>412</v>
      </c>
      <c r="G11" s="36"/>
      <c r="H11" s="307">
        <f>IF(G11&gt;0,VLOOKUP(F11&amp;E11&amp;G11,Data!$AC$60:$AF$382,4,0),0)</f>
        <v>0</v>
      </c>
      <c r="I11" s="36"/>
      <c r="J11" s="36" t="s">
        <v>412</v>
      </c>
      <c r="K11" s="36" t="s">
        <v>412</v>
      </c>
      <c r="L11" s="36"/>
      <c r="M11" s="243">
        <f>IF(L11&gt;0,VLOOKUP(K11&amp;L11,Data!$AI$60:$AL$402,4,0),0)</f>
        <v>0</v>
      </c>
      <c r="N11" s="15"/>
      <c r="O11" s="579">
        <v>0</v>
      </c>
      <c r="P11" s="15"/>
      <c r="Q11" s="144"/>
      <c r="R11" s="45"/>
    </row>
    <row r="12" spans="1:25" x14ac:dyDescent="0.25">
      <c r="A12" s="18">
        <f>VLOOKUP(B12,Data!$W$4:$Y$18,3,FALSE)</f>
        <v>0</v>
      </c>
      <c r="B12" s="36" t="s">
        <v>412</v>
      </c>
      <c r="C12" s="17"/>
      <c r="D12" s="358" t="str">
        <f>+VLOOKUP(B12,Data!$U$60:$V$89,2,0)</f>
        <v>-</v>
      </c>
      <c r="E12" s="36" t="s">
        <v>412</v>
      </c>
      <c r="F12" s="36" t="s">
        <v>412</v>
      </c>
      <c r="G12" s="36"/>
      <c r="H12" s="307">
        <f>IF(G12&gt;0,VLOOKUP(F12&amp;E12&amp;G12,Data!$AC$60:$AF$382,4,0),0)</f>
        <v>0</v>
      </c>
      <c r="I12" s="36"/>
      <c r="J12" s="36" t="s">
        <v>412</v>
      </c>
      <c r="K12" s="36" t="s">
        <v>412</v>
      </c>
      <c r="L12" s="36"/>
      <c r="M12" s="243">
        <f>IF(L12&gt;0,VLOOKUP(K12&amp;L12,Data!$AI$60:$AL$402,4,0),0)</f>
        <v>0</v>
      </c>
      <c r="N12" s="17"/>
      <c r="O12" s="579">
        <v>0</v>
      </c>
      <c r="P12" s="17"/>
      <c r="Q12" s="145"/>
      <c r="R12" s="47"/>
    </row>
    <row r="13" spans="1:25" x14ac:dyDescent="0.25">
      <c r="A13" s="18">
        <f>VLOOKUP(B13,Data!$W$4:$Y$18,3,FALSE)</f>
        <v>0</v>
      </c>
      <c r="B13" s="36" t="s">
        <v>412</v>
      </c>
      <c r="C13" s="17"/>
      <c r="D13" s="358" t="str">
        <f>+VLOOKUP(B13,Data!$U$60:$V$89,2,0)</f>
        <v>-</v>
      </c>
      <c r="E13" s="36" t="s">
        <v>412</v>
      </c>
      <c r="F13" s="36" t="s">
        <v>412</v>
      </c>
      <c r="G13" s="36"/>
      <c r="H13" s="307">
        <f>IF(G13&gt;0,VLOOKUP(F13&amp;E13&amp;G13,Data!$AC$60:$AF$382,4,0),0)</f>
        <v>0</v>
      </c>
      <c r="I13" s="36"/>
      <c r="J13" s="36" t="s">
        <v>412</v>
      </c>
      <c r="K13" s="36" t="s">
        <v>412</v>
      </c>
      <c r="L13" s="36"/>
      <c r="M13" s="243">
        <f>IF(L13&gt;0,VLOOKUP(K13&amp;L13,Data!$AI$60:$AL$402,4,0),0)</f>
        <v>0</v>
      </c>
      <c r="N13" s="17"/>
      <c r="O13" s="579">
        <v>0</v>
      </c>
      <c r="P13" s="17"/>
      <c r="Q13" s="145"/>
      <c r="R13" s="47"/>
    </row>
    <row r="14" spans="1:25" x14ac:dyDescent="0.25">
      <c r="A14" s="18">
        <f>VLOOKUP(B14,Data!$W$4:$Y$18,3,FALSE)</f>
        <v>0</v>
      </c>
      <c r="B14" s="36" t="s">
        <v>412</v>
      </c>
      <c r="C14" s="17"/>
      <c r="D14" s="358" t="str">
        <f>+VLOOKUP(B14,Data!$U$60:$V$89,2,0)</f>
        <v>-</v>
      </c>
      <c r="E14" s="36" t="s">
        <v>412</v>
      </c>
      <c r="F14" s="36" t="s">
        <v>412</v>
      </c>
      <c r="G14" s="36"/>
      <c r="H14" s="307">
        <f>IF(G14&gt;0,VLOOKUP(F14&amp;E14&amp;G14,Data!$AC$60:$AF$382,4,0),0)</f>
        <v>0</v>
      </c>
      <c r="I14" s="36"/>
      <c r="J14" s="36" t="s">
        <v>412</v>
      </c>
      <c r="K14" s="36" t="s">
        <v>412</v>
      </c>
      <c r="L14" s="36"/>
      <c r="M14" s="243">
        <f>IF(L14&gt;0,VLOOKUP(K14&amp;L14,Data!$AI$60:$AL$402,4,0),0)</f>
        <v>0</v>
      </c>
      <c r="N14" s="17"/>
      <c r="O14" s="579">
        <v>0</v>
      </c>
      <c r="P14" s="17"/>
      <c r="Q14" s="145"/>
      <c r="R14" s="47"/>
    </row>
    <row r="15" spans="1:25" x14ac:dyDescent="0.25">
      <c r="A15" s="18">
        <f>VLOOKUP(B15,Data!$W$4:$Y$18,3,FALSE)</f>
        <v>0</v>
      </c>
      <c r="B15" s="36" t="s">
        <v>412</v>
      </c>
      <c r="C15" s="17"/>
      <c r="D15" s="358" t="str">
        <f>+VLOOKUP(B15,Data!$U$60:$V$89,2,0)</f>
        <v>-</v>
      </c>
      <c r="E15" s="36" t="s">
        <v>412</v>
      </c>
      <c r="F15" s="36" t="s">
        <v>412</v>
      </c>
      <c r="G15" s="36"/>
      <c r="H15" s="307">
        <f>IF(G15&gt;0,VLOOKUP(F15&amp;E15&amp;G15,Data!$AC$60:$AF$382,4,0),0)</f>
        <v>0</v>
      </c>
      <c r="I15" s="36"/>
      <c r="J15" s="36" t="s">
        <v>412</v>
      </c>
      <c r="K15" s="36" t="s">
        <v>412</v>
      </c>
      <c r="L15" s="36"/>
      <c r="M15" s="243">
        <f>IF(L15&gt;0,VLOOKUP(K15&amp;L15,Data!$AI$60:$AL$402,4,0),0)</f>
        <v>0</v>
      </c>
      <c r="N15" s="17"/>
      <c r="O15" s="579">
        <v>0</v>
      </c>
      <c r="P15" s="17"/>
      <c r="Q15" s="145"/>
      <c r="R15" s="47"/>
    </row>
    <row r="16" spans="1:25" x14ac:dyDescent="0.25">
      <c r="A16" s="18">
        <f>VLOOKUP(B16,Data!$W$4:$Y$18,3,FALSE)</f>
        <v>0</v>
      </c>
      <c r="B16" s="36" t="s">
        <v>412</v>
      </c>
      <c r="C16" s="17"/>
      <c r="D16" s="358" t="str">
        <f>+VLOOKUP(B16,Data!$U$60:$V$89,2,0)</f>
        <v>-</v>
      </c>
      <c r="E16" s="36" t="s">
        <v>412</v>
      </c>
      <c r="F16" s="36" t="s">
        <v>412</v>
      </c>
      <c r="G16" s="36"/>
      <c r="H16" s="307">
        <f>IF(G16&gt;0,VLOOKUP(F16&amp;E16&amp;G16,Data!$AC$60:$AF$382,4,0),0)</f>
        <v>0</v>
      </c>
      <c r="I16" s="36"/>
      <c r="J16" s="36" t="s">
        <v>412</v>
      </c>
      <c r="K16" s="36" t="s">
        <v>412</v>
      </c>
      <c r="L16" s="36"/>
      <c r="M16" s="243">
        <f>IF(L16&gt;0,VLOOKUP(K16&amp;L16,Data!$AI$60:$AL$402,4,0),0)</f>
        <v>0</v>
      </c>
      <c r="N16" s="17"/>
      <c r="O16" s="579">
        <v>0</v>
      </c>
      <c r="P16" s="17"/>
      <c r="Q16" s="145"/>
      <c r="R16" s="47"/>
    </row>
    <row r="17" spans="1:25" x14ac:dyDescent="0.25">
      <c r="A17" s="18">
        <f>VLOOKUP(B17,Data!$W$4:$Y$18,3,FALSE)</f>
        <v>0</v>
      </c>
      <c r="B17" s="36" t="s">
        <v>412</v>
      </c>
      <c r="C17" s="17"/>
      <c r="D17" s="358" t="str">
        <f>+VLOOKUP(B17,Data!$U$60:$V$89,2,0)</f>
        <v>-</v>
      </c>
      <c r="E17" s="36" t="s">
        <v>412</v>
      </c>
      <c r="F17" s="36" t="s">
        <v>412</v>
      </c>
      <c r="G17" s="36"/>
      <c r="H17" s="307">
        <f>IF(G17&gt;0,VLOOKUP(F17&amp;E17&amp;G17,Data!$AC$60:$AF$382,4,0),0)</f>
        <v>0</v>
      </c>
      <c r="I17" s="36"/>
      <c r="J17" s="36" t="s">
        <v>412</v>
      </c>
      <c r="K17" s="36" t="s">
        <v>412</v>
      </c>
      <c r="L17" s="36"/>
      <c r="M17" s="243">
        <f>IF(L17&gt;0,VLOOKUP(K17&amp;L17,Data!$AI$60:$AL$402,4,0),0)</f>
        <v>0</v>
      </c>
      <c r="N17" s="17"/>
      <c r="O17" s="579">
        <v>0</v>
      </c>
      <c r="P17" s="17"/>
      <c r="Q17" s="145"/>
      <c r="R17" s="47"/>
    </row>
    <row r="18" spans="1:25" x14ac:dyDescent="0.25">
      <c r="A18" s="18">
        <f>VLOOKUP(B18,Data!$W$4:$Y$18,3,FALSE)</f>
        <v>0</v>
      </c>
      <c r="B18" s="36" t="s">
        <v>412</v>
      </c>
      <c r="C18" s="17"/>
      <c r="D18" s="358" t="str">
        <f>+VLOOKUP(B18,Data!$U$60:$V$89,2,0)</f>
        <v>-</v>
      </c>
      <c r="E18" s="36" t="s">
        <v>412</v>
      </c>
      <c r="F18" s="36" t="s">
        <v>412</v>
      </c>
      <c r="G18" s="36"/>
      <c r="H18" s="307">
        <f>IF(G18&gt;0,VLOOKUP(F18&amp;E18&amp;G18,Data!$AC$60:$AF$382,4,0),0)</f>
        <v>0</v>
      </c>
      <c r="I18" s="36"/>
      <c r="J18" s="36" t="s">
        <v>412</v>
      </c>
      <c r="K18" s="36" t="s">
        <v>412</v>
      </c>
      <c r="L18" s="36"/>
      <c r="M18" s="243">
        <f>IF(L18&gt;0,VLOOKUP(K18&amp;L18,Data!$AI$60:$AL$402,4,0),0)</f>
        <v>0</v>
      </c>
      <c r="N18" s="17"/>
      <c r="O18" s="579">
        <v>0</v>
      </c>
      <c r="P18" s="17"/>
      <c r="Q18" s="145"/>
      <c r="R18" s="47"/>
    </row>
    <row r="19" spans="1:25" x14ac:dyDescent="0.25">
      <c r="A19" s="18">
        <f>VLOOKUP(B19,Data!$W$4:$Y$18,3,FALSE)</f>
        <v>0</v>
      </c>
      <c r="B19" s="36" t="s">
        <v>412</v>
      </c>
      <c r="C19" s="17"/>
      <c r="D19" s="358" t="str">
        <f>+VLOOKUP(B19,Data!$U$60:$V$89,2,0)</f>
        <v>-</v>
      </c>
      <c r="E19" s="36" t="s">
        <v>412</v>
      </c>
      <c r="F19" s="36" t="s">
        <v>412</v>
      </c>
      <c r="G19" s="36"/>
      <c r="H19" s="307">
        <f>IF(G19&gt;0,VLOOKUP(F19&amp;E19&amp;G19,Data!$AC$60:$AF$382,4,0),0)</f>
        <v>0</v>
      </c>
      <c r="I19" s="36"/>
      <c r="J19" s="36" t="s">
        <v>412</v>
      </c>
      <c r="K19" s="36" t="s">
        <v>412</v>
      </c>
      <c r="L19" s="36"/>
      <c r="M19" s="243">
        <f>IF(L19&gt;0,VLOOKUP(K19&amp;L19,Data!$AI$60:$AL$402,4,0),0)</f>
        <v>0</v>
      </c>
      <c r="N19" s="17"/>
      <c r="O19" s="579">
        <v>0</v>
      </c>
      <c r="P19" s="17"/>
      <c r="Q19" s="145"/>
      <c r="R19" s="47"/>
    </row>
    <row r="20" spans="1:25" x14ac:dyDescent="0.25">
      <c r="A20" s="18">
        <f>VLOOKUP(B20,Data!$W$4:$Y$18,3,FALSE)</f>
        <v>0</v>
      </c>
      <c r="B20" s="36" t="s">
        <v>412</v>
      </c>
      <c r="C20" s="17"/>
      <c r="D20" s="358" t="str">
        <f>+VLOOKUP(B20,Data!$U$60:$V$89,2,0)</f>
        <v>-</v>
      </c>
      <c r="E20" s="36" t="s">
        <v>412</v>
      </c>
      <c r="F20" s="36" t="s">
        <v>412</v>
      </c>
      <c r="G20" s="36"/>
      <c r="H20" s="307">
        <f>IF(G20&gt;0,VLOOKUP(F20&amp;E20&amp;G20,Data!$AC$60:$AF$382,4,0),0)</f>
        <v>0</v>
      </c>
      <c r="I20" s="36"/>
      <c r="J20" s="36" t="s">
        <v>412</v>
      </c>
      <c r="K20" s="36" t="s">
        <v>412</v>
      </c>
      <c r="L20" s="36"/>
      <c r="M20" s="243">
        <f>IF(L20&gt;0,VLOOKUP(K20&amp;L20,Data!$AI$60:$AL$402,4,0),0)</f>
        <v>0</v>
      </c>
      <c r="N20" s="17"/>
      <c r="O20" s="579">
        <v>0</v>
      </c>
      <c r="P20" s="17"/>
      <c r="Q20" s="145"/>
      <c r="R20" s="47"/>
    </row>
    <row r="21" spans="1:25" x14ac:dyDescent="0.25">
      <c r="A21" s="17"/>
      <c r="B21" s="17"/>
      <c r="C21" s="17"/>
      <c r="D21" s="94"/>
      <c r="E21" s="36" t="s">
        <v>412</v>
      </c>
      <c r="F21" s="36" t="s">
        <v>412</v>
      </c>
      <c r="G21" s="36"/>
      <c r="H21" s="307">
        <f>IF(G21&gt;0,VLOOKUP(F21&amp;E21&amp;G21,Data!$AC$60:$AF$382,4,0),0)</f>
        <v>0</v>
      </c>
      <c r="I21" s="36"/>
      <c r="J21" s="36" t="s">
        <v>412</v>
      </c>
      <c r="K21" s="36" t="s">
        <v>412</v>
      </c>
      <c r="L21" s="36"/>
      <c r="M21" s="243">
        <f>IF(L21&gt;0,VLOOKUP(K21&amp;L21,Data!$AI$60:$AL$402,4,0),0)</f>
        <v>0</v>
      </c>
      <c r="N21" s="17"/>
      <c r="O21" s="579">
        <v>0</v>
      </c>
      <c r="P21" s="17"/>
      <c r="Q21" s="145"/>
      <c r="R21" s="47"/>
    </row>
    <row r="22" spans="1:25" ht="15.75" thickBot="1" x14ac:dyDescent="0.3">
      <c r="A22" s="17"/>
      <c r="B22" s="17"/>
      <c r="C22" s="17"/>
      <c r="D22" s="94"/>
      <c r="E22" s="36" t="s">
        <v>412</v>
      </c>
      <c r="F22" s="36" t="s">
        <v>412</v>
      </c>
      <c r="G22" s="36"/>
      <c r="H22" s="307">
        <f>IF(G22&gt;0,VLOOKUP(F22&amp;E22&amp;G22,Data!$AC$60:$AF$382,4,0),0)</f>
        <v>0</v>
      </c>
      <c r="I22" s="36"/>
      <c r="J22" s="36" t="s">
        <v>412</v>
      </c>
      <c r="K22" s="36" t="s">
        <v>412</v>
      </c>
      <c r="L22" s="36"/>
      <c r="M22" s="243">
        <f>IF(L22&gt;0,VLOOKUP(K22&amp;L22,Data!$AI$60:$AL$402,4,0),0)</f>
        <v>0</v>
      </c>
      <c r="N22" s="17"/>
      <c r="O22" s="579">
        <v>0</v>
      </c>
      <c r="P22" s="17"/>
      <c r="Q22" s="145"/>
      <c r="R22" s="47"/>
    </row>
    <row r="23" spans="1:25" s="34" customFormat="1" ht="21.75" thickBot="1" x14ac:dyDescent="0.4">
      <c r="A23" s="33" t="str">
        <f>IF(Schip!$I$8&gt;1,"40 Mast","")</f>
        <v>40 Mast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244"/>
      <c r="N23" s="38"/>
      <c r="O23" s="38"/>
      <c r="P23" s="234"/>
      <c r="Q23" s="38"/>
      <c r="R23" s="38"/>
      <c r="Y23" s="40"/>
    </row>
    <row r="24" spans="1:25" x14ac:dyDescent="0.25">
      <c r="A24" s="18">
        <f>VLOOKUP(B24,Data!$W$4:$AB$18,4,FALSE)</f>
        <v>0</v>
      </c>
      <c r="B24" s="36" t="s">
        <v>412</v>
      </c>
      <c r="C24" s="15"/>
      <c r="D24" s="358" t="str">
        <f>+VLOOKUP(B24,Data!$U$60:$V$89,2,0)</f>
        <v>-</v>
      </c>
      <c r="E24" s="36" t="s">
        <v>412</v>
      </c>
      <c r="F24" s="36" t="s">
        <v>412</v>
      </c>
      <c r="G24" s="36"/>
      <c r="H24" s="307">
        <f>IF(G24&gt;0,VLOOKUP(F24&amp;E24&amp;G24,Data!$AC$60:$AF$382,4,0),0)</f>
        <v>0</v>
      </c>
      <c r="I24" s="36"/>
      <c r="J24" s="36" t="s">
        <v>412</v>
      </c>
      <c r="K24" s="36" t="s">
        <v>412</v>
      </c>
      <c r="L24" s="36"/>
      <c r="M24" s="243">
        <f>IF(L24&gt;0,VLOOKUP(K24&amp;L24,Data!$AI$60:$AL$402,4,0),0)</f>
        <v>0</v>
      </c>
      <c r="N24" s="17"/>
      <c r="O24" s="579">
        <v>0</v>
      </c>
      <c r="P24" s="17"/>
      <c r="Q24" s="17"/>
      <c r="R24" s="47"/>
    </row>
    <row r="25" spans="1:25" x14ac:dyDescent="0.25">
      <c r="A25" s="18">
        <f>VLOOKUP(B25,Data!$W$4:$AB$18,4,FALSE)</f>
        <v>0</v>
      </c>
      <c r="B25" s="36" t="s">
        <v>412</v>
      </c>
      <c r="C25" s="17"/>
      <c r="D25" s="358" t="str">
        <f>+VLOOKUP(B25,Data!$U$60:$V$89,2,0)</f>
        <v>-</v>
      </c>
      <c r="E25" s="36" t="s">
        <v>412</v>
      </c>
      <c r="F25" s="36" t="s">
        <v>412</v>
      </c>
      <c r="G25" s="36"/>
      <c r="H25" s="307">
        <f>IF(G25&gt;0,VLOOKUP(F25&amp;E25&amp;G25,Data!$AC$60:$AF$382,4,0),0)</f>
        <v>0</v>
      </c>
      <c r="I25" s="36"/>
      <c r="J25" s="36" t="s">
        <v>412</v>
      </c>
      <c r="K25" s="36" t="s">
        <v>412</v>
      </c>
      <c r="L25" s="36"/>
      <c r="M25" s="243">
        <f>IF(L25&gt;0,VLOOKUP(K25&amp;L25,Data!$AI$60:$AL$402,4,0),0)</f>
        <v>0</v>
      </c>
      <c r="N25" s="17"/>
      <c r="O25" s="579">
        <v>0</v>
      </c>
      <c r="P25" s="17"/>
      <c r="Q25" s="17"/>
      <c r="R25" s="47"/>
    </row>
    <row r="26" spans="1:25" x14ac:dyDescent="0.25">
      <c r="A26" s="18">
        <f>VLOOKUP(B26,Data!$W$4:$AB$18,4,FALSE)</f>
        <v>0</v>
      </c>
      <c r="B26" s="36" t="s">
        <v>412</v>
      </c>
      <c r="C26" s="17"/>
      <c r="D26" s="358" t="str">
        <f>+VLOOKUP(B26,Data!$U$60:$V$89,2,0)</f>
        <v>-</v>
      </c>
      <c r="E26" s="36" t="s">
        <v>412</v>
      </c>
      <c r="F26" s="36" t="s">
        <v>412</v>
      </c>
      <c r="G26" s="36"/>
      <c r="H26" s="307">
        <f>IF(G26&gt;0,VLOOKUP(F26&amp;E26&amp;G26,Data!$AC$60:$AF$382,4,0),0)</f>
        <v>0</v>
      </c>
      <c r="I26" s="36"/>
      <c r="J26" s="36" t="s">
        <v>412</v>
      </c>
      <c r="K26" s="36" t="s">
        <v>412</v>
      </c>
      <c r="L26" s="36"/>
      <c r="M26" s="243">
        <f>IF(L26&gt;0,VLOOKUP(K26&amp;L26,Data!$AI$60:$AL$402,4,0),0)</f>
        <v>0</v>
      </c>
      <c r="N26" s="17"/>
      <c r="O26" s="579">
        <v>0</v>
      </c>
      <c r="P26" s="17"/>
      <c r="Q26" s="17"/>
      <c r="R26" s="47"/>
    </row>
    <row r="27" spans="1:25" x14ac:dyDescent="0.25">
      <c r="A27" s="18">
        <f>VLOOKUP(B27,Data!$W$4:$AB$18,4,FALSE)</f>
        <v>0</v>
      </c>
      <c r="B27" s="36" t="s">
        <v>412</v>
      </c>
      <c r="C27" s="17"/>
      <c r="D27" s="358" t="str">
        <f>+VLOOKUP(B27,Data!$U$60:$V$89,2,0)</f>
        <v>-</v>
      </c>
      <c r="E27" s="36" t="s">
        <v>412</v>
      </c>
      <c r="F27" s="36" t="s">
        <v>412</v>
      </c>
      <c r="G27" s="36"/>
      <c r="H27" s="307">
        <f>IF(G27&gt;0,VLOOKUP(F27&amp;E27&amp;G27,Data!$AC$60:$AF$382,4,0),0)</f>
        <v>0</v>
      </c>
      <c r="I27" s="36"/>
      <c r="J27" s="36" t="s">
        <v>412</v>
      </c>
      <c r="K27" s="36" t="s">
        <v>412</v>
      </c>
      <c r="L27" s="36"/>
      <c r="M27" s="243">
        <f>IF(L27&gt;0,VLOOKUP(K27&amp;L27,Data!$AI$60:$AL$402,4,0),0)</f>
        <v>0</v>
      </c>
      <c r="N27" s="17"/>
      <c r="O27" s="579">
        <v>0</v>
      </c>
      <c r="P27" s="17"/>
      <c r="Q27" s="17"/>
      <c r="R27" s="47"/>
    </row>
    <row r="28" spans="1:25" x14ac:dyDescent="0.25">
      <c r="A28" s="18">
        <f>VLOOKUP(B28,Data!$W$4:$AB$18,4,FALSE)</f>
        <v>0</v>
      </c>
      <c r="B28" s="36" t="s">
        <v>412</v>
      </c>
      <c r="C28" s="17"/>
      <c r="D28" s="358" t="str">
        <f>+VLOOKUP(B28,Data!$U$60:$V$89,2,0)</f>
        <v>-</v>
      </c>
      <c r="E28" s="36" t="s">
        <v>412</v>
      </c>
      <c r="F28" s="36" t="s">
        <v>412</v>
      </c>
      <c r="G28" s="36"/>
      <c r="H28" s="307">
        <f>IF(G28&gt;0,VLOOKUP(F28&amp;E28&amp;G28,Data!$AC$60:$AF$382,4,0),0)</f>
        <v>0</v>
      </c>
      <c r="I28" s="36"/>
      <c r="J28" s="36" t="s">
        <v>412</v>
      </c>
      <c r="K28" s="36" t="s">
        <v>412</v>
      </c>
      <c r="L28" s="36"/>
      <c r="M28" s="243">
        <f>IF(L28&gt;0,VLOOKUP(K28&amp;L28,Data!$AI$60:$AL$402,4,0),0)</f>
        <v>0</v>
      </c>
      <c r="N28" s="17"/>
      <c r="O28" s="579">
        <v>0</v>
      </c>
      <c r="P28" s="17"/>
      <c r="Q28" s="17"/>
      <c r="R28" s="47"/>
    </row>
    <row r="29" spans="1:25" x14ac:dyDescent="0.25">
      <c r="A29" s="18">
        <f>VLOOKUP(B29,Data!$W$4:$AB$18,4,FALSE)</f>
        <v>0</v>
      </c>
      <c r="B29" s="36" t="s">
        <v>412</v>
      </c>
      <c r="C29" s="17"/>
      <c r="D29" s="358" t="str">
        <f>+VLOOKUP(B29,Data!$U$60:$V$89,2,0)</f>
        <v>-</v>
      </c>
      <c r="E29" s="36" t="s">
        <v>412</v>
      </c>
      <c r="F29" s="36" t="s">
        <v>412</v>
      </c>
      <c r="G29" s="36"/>
      <c r="H29" s="307">
        <f>IF(G29&gt;0,VLOOKUP(F29&amp;E29&amp;G29,Data!$AC$60:$AF$382,4,0),0)</f>
        <v>0</v>
      </c>
      <c r="I29" s="36"/>
      <c r="J29" s="36" t="s">
        <v>412</v>
      </c>
      <c r="K29" s="36" t="s">
        <v>412</v>
      </c>
      <c r="L29" s="36"/>
      <c r="M29" s="243">
        <f>IF(L29&gt;0,VLOOKUP(K29&amp;L29,Data!$AI$60:$AL$402,4,0),0)</f>
        <v>0</v>
      </c>
      <c r="N29" s="17"/>
      <c r="O29" s="579">
        <v>0</v>
      </c>
      <c r="P29" s="17"/>
      <c r="Q29" s="17"/>
      <c r="R29" s="47"/>
    </row>
    <row r="30" spans="1:25" x14ac:dyDescent="0.25">
      <c r="A30" s="18">
        <f>VLOOKUP(B30,Data!$W$4:$AB$18,4,FALSE)</f>
        <v>0</v>
      </c>
      <c r="B30" s="36" t="s">
        <v>412</v>
      </c>
      <c r="C30" s="17"/>
      <c r="D30" s="358" t="str">
        <f>+VLOOKUP(B30,Data!$U$60:$V$89,2,0)</f>
        <v>-</v>
      </c>
      <c r="E30" s="36" t="s">
        <v>412</v>
      </c>
      <c r="F30" s="36" t="s">
        <v>412</v>
      </c>
      <c r="G30" s="36"/>
      <c r="H30" s="307">
        <f>IF(G30&gt;0,VLOOKUP(F30&amp;E30&amp;G30,Data!$AC$60:$AF$382,4,0),0)</f>
        <v>0</v>
      </c>
      <c r="I30" s="36"/>
      <c r="J30" s="36" t="s">
        <v>412</v>
      </c>
      <c r="K30" s="36" t="s">
        <v>412</v>
      </c>
      <c r="L30" s="36"/>
      <c r="M30" s="243">
        <f>IF(L30&gt;0,VLOOKUP(K30&amp;L30,Data!$AI$60:$AL$402,4,0),0)</f>
        <v>0</v>
      </c>
      <c r="N30" s="17"/>
      <c r="O30" s="579">
        <v>0</v>
      </c>
      <c r="P30" s="17"/>
      <c r="Q30" s="17"/>
      <c r="R30" s="47"/>
    </row>
    <row r="31" spans="1:25" x14ac:dyDescent="0.25">
      <c r="A31" s="18">
        <f>VLOOKUP(B31,Data!$W$4:$AB$18,4,FALSE)</f>
        <v>0</v>
      </c>
      <c r="B31" s="36" t="s">
        <v>412</v>
      </c>
      <c r="C31" s="17"/>
      <c r="D31" s="358" t="str">
        <f>+VLOOKUP(B31,Data!$U$60:$V$89,2,0)</f>
        <v>-</v>
      </c>
      <c r="E31" s="36" t="s">
        <v>412</v>
      </c>
      <c r="F31" s="36" t="s">
        <v>412</v>
      </c>
      <c r="G31" s="36"/>
      <c r="H31" s="307">
        <f>IF(G31&gt;0,VLOOKUP(F31&amp;E31&amp;G31,Data!$AC$60:$AF$382,4,0),0)</f>
        <v>0</v>
      </c>
      <c r="I31" s="36"/>
      <c r="J31" s="36" t="s">
        <v>412</v>
      </c>
      <c r="K31" s="36" t="s">
        <v>412</v>
      </c>
      <c r="L31" s="36"/>
      <c r="M31" s="243">
        <f>IF(L31&gt;0,VLOOKUP(K31&amp;L31,Data!$AI$60:$AL$402,4,0),0)</f>
        <v>0</v>
      </c>
      <c r="N31" s="17"/>
      <c r="O31" s="579">
        <v>0</v>
      </c>
      <c r="P31" s="17"/>
      <c r="Q31" s="17"/>
      <c r="R31" s="47"/>
    </row>
    <row r="32" spans="1:25" x14ac:dyDescent="0.25">
      <c r="A32" s="18">
        <f>VLOOKUP(B32,Data!$W$4:$AB$18,4,FALSE)</f>
        <v>0</v>
      </c>
      <c r="B32" s="36" t="s">
        <v>412</v>
      </c>
      <c r="C32" s="17"/>
      <c r="D32" s="358" t="str">
        <f>+VLOOKUP(B32,Data!$U$60:$V$89,2,0)</f>
        <v>-</v>
      </c>
      <c r="E32" s="36" t="s">
        <v>412</v>
      </c>
      <c r="F32" s="36" t="s">
        <v>412</v>
      </c>
      <c r="G32" s="36"/>
      <c r="H32" s="307">
        <f>IF(G32&gt;0,VLOOKUP(F32&amp;E32&amp;G32,Data!$AC$60:$AF$382,4,0),0)</f>
        <v>0</v>
      </c>
      <c r="I32" s="36"/>
      <c r="J32" s="36" t="s">
        <v>412</v>
      </c>
      <c r="K32" s="36" t="s">
        <v>412</v>
      </c>
      <c r="L32" s="36"/>
      <c r="M32" s="243">
        <f>IF(L32&gt;0,VLOOKUP(K32&amp;L32,Data!$AI$60:$AL$402,4,0),0)</f>
        <v>0</v>
      </c>
      <c r="N32" s="17"/>
      <c r="O32" s="579">
        <v>0</v>
      </c>
      <c r="P32" s="17"/>
      <c r="Q32" s="17"/>
      <c r="R32" s="47"/>
    </row>
    <row r="33" spans="1:25" x14ac:dyDescent="0.25">
      <c r="A33" s="18">
        <f>VLOOKUP(B33,Data!$W$4:$AB$18,4,FALSE)</f>
        <v>0</v>
      </c>
      <c r="B33" s="36" t="s">
        <v>412</v>
      </c>
      <c r="C33" s="17"/>
      <c r="D33" s="358" t="str">
        <f>+VLOOKUP(B33,Data!$U$60:$V$89,2,0)</f>
        <v>-</v>
      </c>
      <c r="E33" s="36" t="s">
        <v>412</v>
      </c>
      <c r="F33" s="36" t="s">
        <v>412</v>
      </c>
      <c r="G33" s="36"/>
      <c r="H33" s="307">
        <f>IF(G33&gt;0,VLOOKUP(F33&amp;E33&amp;G33,Data!$AC$60:$AF$382,4,0),0)</f>
        <v>0</v>
      </c>
      <c r="I33" s="36"/>
      <c r="J33" s="36" t="s">
        <v>412</v>
      </c>
      <c r="K33" s="36" t="s">
        <v>412</v>
      </c>
      <c r="L33" s="36"/>
      <c r="M33" s="243">
        <f>IF(L33&gt;0,VLOOKUP(K33&amp;L33,Data!$AI$60:$AL$402,4,0),0)</f>
        <v>0</v>
      </c>
      <c r="N33" s="17"/>
      <c r="O33" s="579">
        <v>0</v>
      </c>
      <c r="P33" s="17"/>
      <c r="Q33" s="17"/>
      <c r="R33" s="47"/>
    </row>
    <row r="34" spans="1:25" x14ac:dyDescent="0.25">
      <c r="A34" s="17"/>
      <c r="B34" s="17"/>
      <c r="C34" s="17"/>
      <c r="D34" s="94"/>
      <c r="E34" s="36" t="s">
        <v>412</v>
      </c>
      <c r="F34" s="36" t="s">
        <v>412</v>
      </c>
      <c r="G34" s="36"/>
      <c r="H34" s="307">
        <f>IF(G34&gt;0,VLOOKUP(F34&amp;E34&amp;G34,Data!$AC$60:$AF$382,4,0),0)</f>
        <v>0</v>
      </c>
      <c r="I34" s="36"/>
      <c r="J34" s="36" t="s">
        <v>412</v>
      </c>
      <c r="K34" s="36" t="s">
        <v>412</v>
      </c>
      <c r="L34" s="36"/>
      <c r="M34" s="243">
        <f>IF(L34&gt;0,VLOOKUP(K34&amp;L34,Data!$AI$60:$AL$402,4,0),0)</f>
        <v>0</v>
      </c>
      <c r="N34" s="17"/>
      <c r="O34" s="579">
        <v>0</v>
      </c>
      <c r="P34" s="17"/>
      <c r="Q34" s="17"/>
      <c r="R34" s="47"/>
    </row>
    <row r="35" spans="1:25" ht="15.75" thickBot="1" x14ac:dyDescent="0.3">
      <c r="A35" s="17"/>
      <c r="B35" s="17"/>
      <c r="C35" s="17"/>
      <c r="D35" s="94"/>
      <c r="E35" s="36" t="s">
        <v>412</v>
      </c>
      <c r="F35" s="36" t="s">
        <v>412</v>
      </c>
      <c r="G35" s="36"/>
      <c r="H35" s="307">
        <f>IF(G35&gt;0,VLOOKUP(F35&amp;E35&amp;G35,Data!$AC$60:$AF$382,4,0),0)</f>
        <v>0</v>
      </c>
      <c r="I35" s="36"/>
      <c r="J35" s="36" t="s">
        <v>412</v>
      </c>
      <c r="K35" s="36" t="s">
        <v>412</v>
      </c>
      <c r="L35" s="36"/>
      <c r="M35" s="243">
        <f>IF(L35&gt;0,VLOOKUP(K35&amp;L35,Data!$AI$60:$AL$402,4,0),0)</f>
        <v>0</v>
      </c>
      <c r="N35" s="17"/>
      <c r="O35" s="579">
        <v>0</v>
      </c>
      <c r="P35" s="17"/>
      <c r="Q35" s="17"/>
      <c r="R35" s="47"/>
    </row>
    <row r="36" spans="1:25" s="34" customFormat="1" ht="21.75" thickBot="1" x14ac:dyDescent="0.4">
      <c r="A36" s="33" t="str">
        <f>IF(Schip!$I$8&gt;2,"60 Mast","")</f>
        <v>60 Mast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244"/>
      <c r="N36" s="38"/>
      <c r="O36" s="38"/>
      <c r="P36" s="234"/>
      <c r="Q36" s="234"/>
      <c r="R36" s="38"/>
      <c r="S36" s="234"/>
      <c r="T36" s="38"/>
      <c r="U36" s="38"/>
      <c r="Y36" s="40"/>
    </row>
    <row r="37" spans="1:25" x14ac:dyDescent="0.25">
      <c r="A37" s="18">
        <f>VLOOKUP(B37,Data!$W$4:$AB$18,5,FALSE)</f>
        <v>0</v>
      </c>
      <c r="B37" s="36" t="s">
        <v>412</v>
      </c>
      <c r="C37" s="15"/>
      <c r="D37" s="358" t="str">
        <f>+VLOOKUP(B37,Data!$U$60:$V$89,2,0)</f>
        <v>-</v>
      </c>
      <c r="E37" s="36" t="s">
        <v>412</v>
      </c>
      <c r="F37" s="36" t="s">
        <v>412</v>
      </c>
      <c r="G37" s="36"/>
      <c r="H37" s="307">
        <f>IF(G37&gt;0,VLOOKUP(F37&amp;E37&amp;G37,Data!$AC$60:$AF$382,4,0),0)</f>
        <v>0</v>
      </c>
      <c r="I37" s="36"/>
      <c r="J37" s="36" t="s">
        <v>412</v>
      </c>
      <c r="K37" s="36" t="s">
        <v>412</v>
      </c>
      <c r="L37" s="36"/>
      <c r="M37" s="243">
        <f>IF(L37&gt;0,VLOOKUP(K37&amp;L37,Data!$AI$60:$AL$402,4,0),0)</f>
        <v>0</v>
      </c>
      <c r="N37" s="17"/>
      <c r="O37" s="579">
        <v>0</v>
      </c>
      <c r="P37" s="17"/>
      <c r="Q37" s="17"/>
      <c r="R37" s="47"/>
    </row>
    <row r="38" spans="1:25" x14ac:dyDescent="0.25">
      <c r="A38" s="18">
        <f>VLOOKUP(B38,Data!$W$4:$AB$18,5,FALSE)</f>
        <v>0</v>
      </c>
      <c r="B38" s="36" t="s">
        <v>412</v>
      </c>
      <c r="C38" s="17"/>
      <c r="D38" s="358" t="str">
        <f>+VLOOKUP(B38,Data!$U$60:$V$89,2,0)</f>
        <v>-</v>
      </c>
      <c r="E38" s="36" t="s">
        <v>412</v>
      </c>
      <c r="F38" s="36" t="s">
        <v>412</v>
      </c>
      <c r="G38" s="36"/>
      <c r="H38" s="307">
        <f>IF(G38&gt;0,VLOOKUP(F38&amp;E38&amp;G38,Data!$AC$60:$AF$382,4,0),0)</f>
        <v>0</v>
      </c>
      <c r="I38" s="36"/>
      <c r="J38" s="36" t="s">
        <v>412</v>
      </c>
      <c r="K38" s="36" t="s">
        <v>412</v>
      </c>
      <c r="L38" s="36"/>
      <c r="M38" s="243">
        <f>IF(L38&gt;0,VLOOKUP(K38&amp;L38,Data!$AI$60:$AL$402,4,0),0)</f>
        <v>0</v>
      </c>
      <c r="N38" s="17"/>
      <c r="O38" s="579">
        <v>0</v>
      </c>
      <c r="P38" s="17"/>
      <c r="Q38" s="17"/>
      <c r="R38" s="47"/>
    </row>
    <row r="39" spans="1:25" x14ac:dyDescent="0.25">
      <c r="A39" s="18">
        <f>VLOOKUP(B39,Data!$W$4:$AB$18,5,FALSE)</f>
        <v>0</v>
      </c>
      <c r="B39" s="36" t="s">
        <v>412</v>
      </c>
      <c r="C39" s="17"/>
      <c r="D39" s="358" t="str">
        <f>+VLOOKUP(B39,Data!$U$60:$V$89,2,0)</f>
        <v>-</v>
      </c>
      <c r="E39" s="36" t="s">
        <v>412</v>
      </c>
      <c r="F39" s="36" t="s">
        <v>412</v>
      </c>
      <c r="G39" s="36"/>
      <c r="H39" s="307">
        <f>IF(G39&gt;0,VLOOKUP(F39&amp;E39&amp;G39,Data!$AC$60:$AF$382,4,0),0)</f>
        <v>0</v>
      </c>
      <c r="I39" s="36"/>
      <c r="J39" s="36" t="s">
        <v>412</v>
      </c>
      <c r="K39" s="36" t="s">
        <v>412</v>
      </c>
      <c r="L39" s="36"/>
      <c r="M39" s="243">
        <f>IF(L39&gt;0,VLOOKUP(K39&amp;L39,Data!$AI$60:$AL$402,4,0),0)</f>
        <v>0</v>
      </c>
      <c r="N39" s="17"/>
      <c r="O39" s="579">
        <v>0</v>
      </c>
      <c r="P39" s="17"/>
      <c r="Q39" s="17"/>
      <c r="R39" s="47"/>
    </row>
    <row r="40" spans="1:25" x14ac:dyDescent="0.25">
      <c r="A40" s="18">
        <f>VLOOKUP(B40,Data!$W$4:$AB$18,5,FALSE)</f>
        <v>0</v>
      </c>
      <c r="B40" s="36" t="s">
        <v>412</v>
      </c>
      <c r="C40" s="17"/>
      <c r="D40" s="358" t="str">
        <f>+VLOOKUP(B40,Data!$U$60:$V$89,2,0)</f>
        <v>-</v>
      </c>
      <c r="E40" s="36" t="s">
        <v>412</v>
      </c>
      <c r="F40" s="36" t="s">
        <v>412</v>
      </c>
      <c r="G40" s="36"/>
      <c r="H40" s="307">
        <f>IF(G40&gt;0,VLOOKUP(F40&amp;E40&amp;G40,Data!$AC$60:$AF$382,4,0),0)</f>
        <v>0</v>
      </c>
      <c r="I40" s="36"/>
      <c r="J40" s="36" t="s">
        <v>412</v>
      </c>
      <c r="K40" s="36" t="s">
        <v>412</v>
      </c>
      <c r="L40" s="36"/>
      <c r="M40" s="243">
        <f>IF(L40&gt;0,VLOOKUP(K40&amp;L40,Data!$AI$60:$AL$402,4,0),0)</f>
        <v>0</v>
      </c>
      <c r="N40" s="17"/>
      <c r="O40" s="579">
        <v>0</v>
      </c>
      <c r="P40" s="17"/>
      <c r="Q40" s="17"/>
      <c r="R40" s="47"/>
    </row>
    <row r="41" spans="1:25" x14ac:dyDescent="0.25">
      <c r="A41" s="18">
        <f>VLOOKUP(B41,Data!$W$4:$AB$18,5,FALSE)</f>
        <v>0</v>
      </c>
      <c r="B41" s="36" t="s">
        <v>412</v>
      </c>
      <c r="C41" s="17"/>
      <c r="D41" s="358" t="str">
        <f>+VLOOKUP(B41,Data!$U$60:$V$89,2,0)</f>
        <v>-</v>
      </c>
      <c r="E41" s="36" t="s">
        <v>412</v>
      </c>
      <c r="F41" s="36" t="s">
        <v>412</v>
      </c>
      <c r="G41" s="36"/>
      <c r="H41" s="307">
        <f>IF(G41&gt;0,VLOOKUP(F41&amp;E41&amp;G41,Data!$AC$60:$AF$382,4,0),0)</f>
        <v>0</v>
      </c>
      <c r="I41" s="36"/>
      <c r="J41" s="36" t="s">
        <v>412</v>
      </c>
      <c r="K41" s="36" t="s">
        <v>412</v>
      </c>
      <c r="L41" s="36"/>
      <c r="M41" s="243">
        <f>IF(L41&gt;0,VLOOKUP(K41&amp;L41,Data!$AI$60:$AL$402,4,0),0)</f>
        <v>0</v>
      </c>
      <c r="N41" s="17"/>
      <c r="O41" s="579">
        <v>0</v>
      </c>
      <c r="P41" s="17"/>
      <c r="Q41" s="17"/>
      <c r="R41" s="47"/>
    </row>
    <row r="42" spans="1:25" x14ac:dyDescent="0.25">
      <c r="A42" s="18">
        <f>VLOOKUP(B42,Data!$W$4:$AB$18,5,FALSE)</f>
        <v>0</v>
      </c>
      <c r="B42" s="36" t="s">
        <v>412</v>
      </c>
      <c r="C42" s="17"/>
      <c r="D42" s="358" t="str">
        <f>+VLOOKUP(B42,Data!$U$60:$V$89,2,0)</f>
        <v>-</v>
      </c>
      <c r="E42" s="36" t="s">
        <v>412</v>
      </c>
      <c r="F42" s="36" t="s">
        <v>412</v>
      </c>
      <c r="G42" s="36"/>
      <c r="H42" s="307">
        <f>IF(G42&gt;0,VLOOKUP(F42&amp;E42&amp;G42,Data!$AC$60:$AF$382,4,0),0)</f>
        <v>0</v>
      </c>
      <c r="I42" s="36"/>
      <c r="J42" s="36" t="s">
        <v>412</v>
      </c>
      <c r="K42" s="36" t="s">
        <v>412</v>
      </c>
      <c r="L42" s="36"/>
      <c r="M42" s="243">
        <f>IF(L42&gt;0,VLOOKUP(K42&amp;L42,Data!$AI$60:$AL$402,4,0),0)</f>
        <v>0</v>
      </c>
      <c r="N42" s="17"/>
      <c r="O42" s="579">
        <v>0</v>
      </c>
      <c r="P42" s="17"/>
      <c r="Q42" s="17"/>
      <c r="R42" s="47"/>
    </row>
    <row r="43" spans="1:25" x14ac:dyDescent="0.25">
      <c r="A43" s="18">
        <f>VLOOKUP(B43,Data!$W$4:$AB$18,5,FALSE)</f>
        <v>0</v>
      </c>
      <c r="B43" s="36" t="s">
        <v>412</v>
      </c>
      <c r="C43" s="17"/>
      <c r="D43" s="358" t="str">
        <f>+VLOOKUP(B43,Data!$U$60:$V$89,2,0)</f>
        <v>-</v>
      </c>
      <c r="E43" s="36" t="s">
        <v>412</v>
      </c>
      <c r="F43" s="36" t="s">
        <v>412</v>
      </c>
      <c r="G43" s="36"/>
      <c r="H43" s="307">
        <f>IF(G43&gt;0,VLOOKUP(F43&amp;E43&amp;G43,Data!$AC$60:$AF$382,4,0),0)</f>
        <v>0</v>
      </c>
      <c r="I43" s="36"/>
      <c r="J43" s="36" t="s">
        <v>412</v>
      </c>
      <c r="K43" s="36" t="s">
        <v>412</v>
      </c>
      <c r="L43" s="36"/>
      <c r="M43" s="243">
        <f>IF(L43&gt;0,VLOOKUP(K43&amp;L43,Data!$AI$60:$AL$402,4,0),0)</f>
        <v>0</v>
      </c>
      <c r="N43" s="17"/>
      <c r="O43" s="579">
        <v>0</v>
      </c>
      <c r="P43" s="17"/>
      <c r="Q43" s="17"/>
      <c r="R43" s="47"/>
    </row>
    <row r="44" spans="1:25" x14ac:dyDescent="0.25">
      <c r="A44" s="18">
        <f>VLOOKUP(B44,Data!$W$4:$AB$18,5,FALSE)</f>
        <v>0</v>
      </c>
      <c r="B44" s="36" t="s">
        <v>412</v>
      </c>
      <c r="C44" s="17"/>
      <c r="D44" s="358" t="str">
        <f>+VLOOKUP(B44,Data!$U$60:$V$89,2,0)</f>
        <v>-</v>
      </c>
      <c r="E44" s="36" t="s">
        <v>412</v>
      </c>
      <c r="F44" s="36" t="s">
        <v>412</v>
      </c>
      <c r="G44" s="36"/>
      <c r="H44" s="307">
        <f>IF(G44&gt;0,VLOOKUP(F44&amp;E44&amp;G44,Data!$AC$60:$AF$382,4,0),0)</f>
        <v>0</v>
      </c>
      <c r="I44" s="36"/>
      <c r="J44" s="36" t="s">
        <v>412</v>
      </c>
      <c r="K44" s="36" t="s">
        <v>412</v>
      </c>
      <c r="L44" s="36"/>
      <c r="M44" s="243">
        <f>IF(L44&gt;0,VLOOKUP(K44&amp;L44,Data!$AI$60:$AL$402,4,0),0)</f>
        <v>0</v>
      </c>
      <c r="N44" s="17"/>
      <c r="O44" s="579">
        <v>0</v>
      </c>
      <c r="P44" s="17"/>
      <c r="Q44" s="17"/>
      <c r="R44" s="47"/>
    </row>
    <row r="45" spans="1:25" x14ac:dyDescent="0.25">
      <c r="A45" s="18">
        <f>VLOOKUP(B45,Data!$W$4:$AB$18,5,FALSE)</f>
        <v>0</v>
      </c>
      <c r="B45" s="36" t="s">
        <v>412</v>
      </c>
      <c r="C45" s="17"/>
      <c r="D45" s="358" t="str">
        <f>+VLOOKUP(B45,Data!$U$60:$V$89,2,0)</f>
        <v>-</v>
      </c>
      <c r="E45" s="36" t="s">
        <v>412</v>
      </c>
      <c r="F45" s="36" t="s">
        <v>412</v>
      </c>
      <c r="G45" s="36"/>
      <c r="H45" s="307">
        <f>IF(G45&gt;0,VLOOKUP(F45&amp;E45&amp;G45,Data!$AC$60:$AF$382,4,0),0)</f>
        <v>0</v>
      </c>
      <c r="I45" s="36"/>
      <c r="J45" s="36" t="s">
        <v>412</v>
      </c>
      <c r="K45" s="36" t="s">
        <v>412</v>
      </c>
      <c r="L45" s="36"/>
      <c r="M45" s="243">
        <f>IF(L45&gt;0,VLOOKUP(K45&amp;L45,Data!$AI$60:$AL$402,4,0),0)</f>
        <v>0</v>
      </c>
      <c r="N45" s="17"/>
      <c r="O45" s="579">
        <v>0</v>
      </c>
      <c r="P45" s="17"/>
      <c r="Q45" s="17"/>
      <c r="R45" s="47"/>
    </row>
    <row r="46" spans="1:25" x14ac:dyDescent="0.25">
      <c r="A46" s="18">
        <f>VLOOKUP(B46,Data!$W$4:$AB$18,5,FALSE)</f>
        <v>0</v>
      </c>
      <c r="B46" s="36" t="s">
        <v>412</v>
      </c>
      <c r="C46" s="17"/>
      <c r="D46" s="358" t="str">
        <f>+VLOOKUP(B46,Data!$U$60:$V$89,2,0)</f>
        <v>-</v>
      </c>
      <c r="E46" s="36" t="s">
        <v>412</v>
      </c>
      <c r="F46" s="36" t="s">
        <v>412</v>
      </c>
      <c r="G46" s="36"/>
      <c r="H46" s="307">
        <f>IF(G46&gt;0,VLOOKUP(F46&amp;E46&amp;G46,Data!$AC$60:$AF$382,4,0),0)</f>
        <v>0</v>
      </c>
      <c r="I46" s="36"/>
      <c r="J46" s="36" t="s">
        <v>412</v>
      </c>
      <c r="K46" s="36" t="s">
        <v>412</v>
      </c>
      <c r="L46" s="36"/>
      <c r="M46" s="243">
        <f>IF(L46&gt;0,VLOOKUP(K46&amp;L46,Data!$AI$60:$AL$402,4,0),0)</f>
        <v>0</v>
      </c>
      <c r="N46" s="17"/>
      <c r="O46" s="579">
        <v>0</v>
      </c>
      <c r="P46" s="17"/>
      <c r="Q46" s="17"/>
      <c r="R46" s="47"/>
    </row>
    <row r="47" spans="1:25" x14ac:dyDescent="0.25">
      <c r="A47" s="17"/>
      <c r="B47" s="17"/>
      <c r="C47" s="17"/>
      <c r="D47" s="94"/>
      <c r="E47" s="36" t="s">
        <v>412</v>
      </c>
      <c r="F47" s="36" t="s">
        <v>412</v>
      </c>
      <c r="G47" s="36"/>
      <c r="H47" s="307">
        <f>IF(G47&gt;0,VLOOKUP(F47&amp;E47&amp;G47,Data!$AC$60:$AF$382,4,0),0)</f>
        <v>0</v>
      </c>
      <c r="I47" s="36"/>
      <c r="J47" s="36" t="s">
        <v>412</v>
      </c>
      <c r="K47" s="36" t="s">
        <v>412</v>
      </c>
      <c r="L47" s="36"/>
      <c r="M47" s="243">
        <f>IF(L47&gt;0,VLOOKUP(K47&amp;L47,Data!$AI$60:$AL$402,4,0),0)</f>
        <v>0</v>
      </c>
      <c r="N47" s="17"/>
      <c r="O47" s="579">
        <v>0</v>
      </c>
      <c r="P47" s="17"/>
      <c r="Q47" s="17"/>
      <c r="R47" s="47"/>
    </row>
    <row r="48" spans="1:25" ht="15.75" thickBot="1" x14ac:dyDescent="0.3">
      <c r="A48" s="17"/>
      <c r="B48" s="17"/>
      <c r="C48" s="17"/>
      <c r="D48" s="94"/>
      <c r="E48" s="36" t="s">
        <v>412</v>
      </c>
      <c r="F48" s="36" t="s">
        <v>412</v>
      </c>
      <c r="G48" s="36"/>
      <c r="H48" s="307">
        <f>IF(G48&gt;0,VLOOKUP(F48&amp;E48&amp;G48,Data!$AC$60:$AF$382,4,0),0)</f>
        <v>0</v>
      </c>
      <c r="I48" s="36"/>
      <c r="J48" s="36" t="s">
        <v>412</v>
      </c>
      <c r="K48" s="36" t="s">
        <v>412</v>
      </c>
      <c r="L48" s="36"/>
      <c r="M48" s="243">
        <f>IF(L48&gt;0,VLOOKUP(K48&amp;L48,Data!$AI$60:$AL$402,4,0),0)</f>
        <v>0</v>
      </c>
      <c r="N48" s="17"/>
      <c r="O48" s="579">
        <v>0</v>
      </c>
      <c r="P48" s="17"/>
      <c r="Q48" s="17"/>
      <c r="R48" s="47"/>
    </row>
    <row r="49" spans="1:25" s="34" customFormat="1" ht="21.75" thickBot="1" x14ac:dyDescent="0.4">
      <c r="A49" s="33" t="str">
        <f>IF(Schip!$I$8&gt;3,"80 Mast","")</f>
        <v>80 Mast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244"/>
      <c r="N49" s="38"/>
      <c r="O49" s="38"/>
      <c r="P49" s="234"/>
      <c r="Q49" s="234"/>
      <c r="R49" s="38"/>
      <c r="Y49" s="40"/>
    </row>
    <row r="50" spans="1:25" x14ac:dyDescent="0.25">
      <c r="A50" s="18">
        <f>VLOOKUP(B50,Data!$W$4:$AB$18,6,FALSE)</f>
        <v>0</v>
      </c>
      <c r="B50" s="36" t="s">
        <v>412</v>
      </c>
      <c r="C50" s="15"/>
      <c r="D50" s="358" t="str">
        <f>+VLOOKUP(B50,Data!$U$60:$V$89,2,0)</f>
        <v>-</v>
      </c>
      <c r="E50" s="36" t="s">
        <v>412</v>
      </c>
      <c r="F50" s="36" t="s">
        <v>412</v>
      </c>
      <c r="G50" s="36"/>
      <c r="H50" s="307">
        <f>IF(G50&gt;0,VLOOKUP(F50&amp;E50&amp;G50,Data!$AC$60:$AF$382,4,0),0)</f>
        <v>0</v>
      </c>
      <c r="I50" s="36"/>
      <c r="J50" s="36" t="s">
        <v>412</v>
      </c>
      <c r="K50" s="36" t="s">
        <v>412</v>
      </c>
      <c r="L50" s="36"/>
      <c r="M50" s="243">
        <f>IF(L50&gt;0,VLOOKUP(K50&amp;L50,Data!$AI$60:$AL$402,4,0),0)</f>
        <v>0</v>
      </c>
      <c r="N50" s="17"/>
      <c r="O50" s="579">
        <v>0</v>
      </c>
      <c r="P50" s="17"/>
      <c r="Q50" s="17"/>
      <c r="R50" s="47"/>
    </row>
    <row r="51" spans="1:25" x14ac:dyDescent="0.25">
      <c r="A51" s="18">
        <f>VLOOKUP(B51,Data!$W$4:$AB$18,6,FALSE)</f>
        <v>0</v>
      </c>
      <c r="B51" s="36" t="s">
        <v>412</v>
      </c>
      <c r="C51" s="17"/>
      <c r="D51" s="358" t="str">
        <f>+VLOOKUP(B51,Data!$U$60:$V$89,2,0)</f>
        <v>-</v>
      </c>
      <c r="E51" s="36" t="s">
        <v>412</v>
      </c>
      <c r="F51" s="36" t="s">
        <v>412</v>
      </c>
      <c r="G51" s="36"/>
      <c r="H51" s="307">
        <f>IF(G51&gt;0,VLOOKUP(F51&amp;E51&amp;G51,Data!$AC$60:$AF$382,4,0),0)</f>
        <v>0</v>
      </c>
      <c r="I51" s="36"/>
      <c r="J51" s="36" t="s">
        <v>412</v>
      </c>
      <c r="K51" s="36" t="s">
        <v>412</v>
      </c>
      <c r="L51" s="36"/>
      <c r="M51" s="243">
        <f>IF(L51&gt;0,VLOOKUP(K51&amp;L51,Data!$AI$60:$AL$402,4,0),0)</f>
        <v>0</v>
      </c>
      <c r="N51" s="17"/>
      <c r="O51" s="579">
        <v>0</v>
      </c>
      <c r="P51" s="17"/>
      <c r="Q51" s="17"/>
      <c r="R51" s="47"/>
    </row>
    <row r="52" spans="1:25" x14ac:dyDescent="0.25">
      <c r="A52" s="18">
        <f>VLOOKUP(B52,Data!$W$4:$AB$18,6,FALSE)</f>
        <v>0</v>
      </c>
      <c r="B52" s="36" t="s">
        <v>412</v>
      </c>
      <c r="C52" s="17"/>
      <c r="D52" s="358" t="str">
        <f>+VLOOKUP(B52,Data!$U$60:$V$89,2,0)</f>
        <v>-</v>
      </c>
      <c r="E52" s="36" t="s">
        <v>412</v>
      </c>
      <c r="F52" s="36" t="s">
        <v>412</v>
      </c>
      <c r="G52" s="36"/>
      <c r="H52" s="307">
        <f>IF(G52&gt;0,VLOOKUP(F52&amp;E52&amp;G52,Data!$AC$60:$AF$382,4,0),0)</f>
        <v>0</v>
      </c>
      <c r="I52" s="36"/>
      <c r="J52" s="36" t="s">
        <v>412</v>
      </c>
      <c r="K52" s="36" t="s">
        <v>412</v>
      </c>
      <c r="L52" s="36"/>
      <c r="M52" s="243">
        <f>IF(L52&gt;0,VLOOKUP(K52&amp;L52,Data!$AI$60:$AL$402,4,0),0)</f>
        <v>0</v>
      </c>
      <c r="N52" s="17"/>
      <c r="O52" s="579">
        <v>0</v>
      </c>
      <c r="P52" s="17"/>
      <c r="Q52" s="17"/>
      <c r="R52" s="47"/>
    </row>
    <row r="53" spans="1:25" x14ac:dyDescent="0.25">
      <c r="A53" s="18">
        <f>VLOOKUP(B53,Data!$W$4:$AB$18,6,FALSE)</f>
        <v>0</v>
      </c>
      <c r="B53" s="36" t="s">
        <v>412</v>
      </c>
      <c r="C53" s="17"/>
      <c r="D53" s="358" t="str">
        <f>+VLOOKUP(B53,Data!$U$60:$V$89,2,0)</f>
        <v>-</v>
      </c>
      <c r="E53" s="36" t="s">
        <v>412</v>
      </c>
      <c r="F53" s="36" t="s">
        <v>412</v>
      </c>
      <c r="G53" s="36"/>
      <c r="H53" s="307">
        <f>IF(G53&gt;0,VLOOKUP(F53&amp;E53&amp;G53,Data!$AC$60:$AF$382,4,0),0)</f>
        <v>0</v>
      </c>
      <c r="I53" s="36"/>
      <c r="J53" s="36" t="s">
        <v>412</v>
      </c>
      <c r="K53" s="36" t="s">
        <v>412</v>
      </c>
      <c r="L53" s="36"/>
      <c r="M53" s="243">
        <f>IF(L53&gt;0,VLOOKUP(K53&amp;L53,Data!$AI$60:$AL$402,4,0),0)</f>
        <v>0</v>
      </c>
      <c r="N53" s="17"/>
      <c r="O53" s="579">
        <v>0</v>
      </c>
      <c r="P53" s="17"/>
      <c r="Q53" s="17"/>
      <c r="R53" s="47"/>
    </row>
    <row r="54" spans="1:25" x14ac:dyDescent="0.25">
      <c r="A54" s="18">
        <f>VLOOKUP(B54,Data!$W$4:$AB$18,6,FALSE)</f>
        <v>0</v>
      </c>
      <c r="B54" s="36" t="s">
        <v>412</v>
      </c>
      <c r="C54" s="17"/>
      <c r="D54" s="358" t="str">
        <f>+VLOOKUP(B54,Data!$U$60:$V$89,2,0)</f>
        <v>-</v>
      </c>
      <c r="E54" s="36" t="s">
        <v>412</v>
      </c>
      <c r="F54" s="36" t="s">
        <v>412</v>
      </c>
      <c r="G54" s="36"/>
      <c r="H54" s="307">
        <f>IF(G54&gt;0,VLOOKUP(F54&amp;E54&amp;G54,Data!$AC$60:$AF$382,4,0),0)</f>
        <v>0</v>
      </c>
      <c r="I54" s="36"/>
      <c r="J54" s="36" t="s">
        <v>412</v>
      </c>
      <c r="K54" s="36" t="s">
        <v>412</v>
      </c>
      <c r="L54" s="36"/>
      <c r="M54" s="243">
        <f>IF(L54&gt;0,VLOOKUP(K54&amp;L54,Data!$AI$60:$AL$402,4,0),0)</f>
        <v>0</v>
      </c>
      <c r="N54" s="17"/>
      <c r="O54" s="579">
        <v>0</v>
      </c>
      <c r="P54" s="17"/>
      <c r="Q54" s="17"/>
      <c r="R54" s="47"/>
    </row>
    <row r="55" spans="1:25" x14ac:dyDescent="0.25">
      <c r="A55" s="18">
        <f>VLOOKUP(B55,Data!$W$4:$AB$18,6,FALSE)</f>
        <v>0</v>
      </c>
      <c r="B55" s="36" t="s">
        <v>412</v>
      </c>
      <c r="C55" s="17"/>
      <c r="D55" s="358" t="str">
        <f>+VLOOKUP(B55,Data!$U$60:$V$89,2,0)</f>
        <v>-</v>
      </c>
      <c r="E55" s="36" t="s">
        <v>412</v>
      </c>
      <c r="F55" s="36" t="s">
        <v>412</v>
      </c>
      <c r="G55" s="36"/>
      <c r="H55" s="307">
        <f>IF(G55&gt;0,VLOOKUP(F55&amp;E55&amp;G55,Data!$AC$60:$AF$382,4,0),0)</f>
        <v>0</v>
      </c>
      <c r="I55" s="36"/>
      <c r="J55" s="36" t="s">
        <v>412</v>
      </c>
      <c r="K55" s="36" t="s">
        <v>412</v>
      </c>
      <c r="L55" s="36"/>
      <c r="M55" s="243">
        <f>IF(L55&gt;0,VLOOKUP(K55&amp;L55,Data!$AI$60:$AL$402,4,0),0)</f>
        <v>0</v>
      </c>
      <c r="N55" s="17"/>
      <c r="O55" s="579">
        <v>0</v>
      </c>
      <c r="P55" s="17"/>
      <c r="Q55" s="17"/>
      <c r="R55" s="47"/>
    </row>
    <row r="56" spans="1:25" x14ac:dyDescent="0.25">
      <c r="A56" s="18">
        <f>VLOOKUP(B56,Data!$W$4:$AB$18,6,FALSE)</f>
        <v>0</v>
      </c>
      <c r="B56" s="36" t="s">
        <v>412</v>
      </c>
      <c r="C56" s="17"/>
      <c r="D56" s="358" t="str">
        <f>+VLOOKUP(B56,Data!$U$60:$V$89,2,0)</f>
        <v>-</v>
      </c>
      <c r="E56" s="36" t="s">
        <v>412</v>
      </c>
      <c r="F56" s="36" t="s">
        <v>412</v>
      </c>
      <c r="G56" s="36"/>
      <c r="H56" s="307">
        <f>IF(G56&gt;0,VLOOKUP(F56&amp;E56&amp;G56,Data!$AC$60:$AF$382,4,0),0)</f>
        <v>0</v>
      </c>
      <c r="I56" s="36"/>
      <c r="J56" s="36" t="s">
        <v>412</v>
      </c>
      <c r="K56" s="36" t="s">
        <v>412</v>
      </c>
      <c r="L56" s="36"/>
      <c r="M56" s="243">
        <f>IF(L56&gt;0,VLOOKUP(K56&amp;L56,Data!$AI$60:$AL$402,4,0),0)</f>
        <v>0</v>
      </c>
      <c r="N56" s="17"/>
      <c r="O56" s="579">
        <v>0</v>
      </c>
      <c r="P56" s="17"/>
      <c r="Q56" s="17"/>
      <c r="R56" s="47"/>
    </row>
    <row r="57" spans="1:25" x14ac:dyDescent="0.25">
      <c r="A57" s="18">
        <f>VLOOKUP(B57,Data!$W$4:$AB$18,6,FALSE)</f>
        <v>0</v>
      </c>
      <c r="B57" s="36" t="s">
        <v>412</v>
      </c>
      <c r="C57" s="17"/>
      <c r="D57" s="358" t="str">
        <f>+VLOOKUP(B57,Data!$U$60:$V$89,2,0)</f>
        <v>-</v>
      </c>
      <c r="E57" s="36" t="s">
        <v>412</v>
      </c>
      <c r="F57" s="36" t="s">
        <v>412</v>
      </c>
      <c r="G57" s="36"/>
      <c r="H57" s="307">
        <f>IF(G57&gt;0,VLOOKUP(F57&amp;E57&amp;G57,Data!$AC$60:$AF$382,4,0),0)</f>
        <v>0</v>
      </c>
      <c r="I57" s="36"/>
      <c r="J57" s="36" t="s">
        <v>412</v>
      </c>
      <c r="K57" s="36" t="s">
        <v>412</v>
      </c>
      <c r="L57" s="36"/>
      <c r="M57" s="243">
        <f>IF(L57&gt;0,VLOOKUP(K57&amp;L57,Data!$AI$60:$AL$402,4,0),0)</f>
        <v>0</v>
      </c>
      <c r="N57" s="17"/>
      <c r="O57" s="579">
        <v>0</v>
      </c>
      <c r="P57" s="17"/>
      <c r="Q57" s="17"/>
      <c r="R57" s="47"/>
    </row>
    <row r="58" spans="1:25" x14ac:dyDescent="0.25">
      <c r="A58" s="18">
        <f>VLOOKUP(B58,Data!$W$4:$AB$18,6,FALSE)</f>
        <v>0</v>
      </c>
      <c r="B58" s="36" t="s">
        <v>412</v>
      </c>
      <c r="C58" s="17"/>
      <c r="D58" s="358" t="str">
        <f>+VLOOKUP(B58,Data!$U$60:$V$89,2,0)</f>
        <v>-</v>
      </c>
      <c r="E58" s="36" t="s">
        <v>412</v>
      </c>
      <c r="F58" s="36" t="s">
        <v>412</v>
      </c>
      <c r="G58" s="36"/>
      <c r="H58" s="307">
        <f>IF(G58&gt;0,VLOOKUP(F58&amp;E58&amp;G58,Data!$AC$60:$AF$382,4,0),0)</f>
        <v>0</v>
      </c>
      <c r="I58" s="36"/>
      <c r="J58" s="36" t="s">
        <v>412</v>
      </c>
      <c r="K58" s="36" t="s">
        <v>412</v>
      </c>
      <c r="L58" s="36"/>
      <c r="M58" s="243">
        <f>IF(L58&gt;0,VLOOKUP(K58&amp;L58,Data!$AI$60:$AL$402,4,0),0)</f>
        <v>0</v>
      </c>
      <c r="N58" s="17"/>
      <c r="O58" s="579">
        <v>0</v>
      </c>
      <c r="P58" s="17"/>
      <c r="Q58" s="17"/>
      <c r="R58" s="47"/>
    </row>
    <row r="59" spans="1:25" x14ac:dyDescent="0.25">
      <c r="A59" s="18">
        <f>VLOOKUP(B59,Data!$W$4:$AB$18,6,FALSE)</f>
        <v>0</v>
      </c>
      <c r="B59" s="36" t="s">
        <v>412</v>
      </c>
      <c r="C59" s="17"/>
      <c r="D59" s="358" t="str">
        <f>+VLOOKUP(B59,Data!$U$60:$V$89,2,0)</f>
        <v>-</v>
      </c>
      <c r="E59" s="36" t="s">
        <v>412</v>
      </c>
      <c r="F59" s="36" t="s">
        <v>412</v>
      </c>
      <c r="G59" s="36"/>
      <c r="H59" s="307">
        <f>IF(G59&gt;0,VLOOKUP(F59&amp;E59&amp;G59,Data!$AC$60:$AF$382,4,0),0)</f>
        <v>0</v>
      </c>
      <c r="I59" s="36"/>
      <c r="J59" s="36" t="s">
        <v>412</v>
      </c>
      <c r="K59" s="36" t="s">
        <v>412</v>
      </c>
      <c r="L59" s="36"/>
      <c r="M59" s="243">
        <f>IF(L59&gt;0,VLOOKUP(K59&amp;L59,Data!$AI$60:$AL$402,4,0),0)</f>
        <v>0</v>
      </c>
      <c r="N59" s="17"/>
      <c r="O59" s="579">
        <v>0</v>
      </c>
      <c r="P59" s="17"/>
      <c r="Q59" s="17"/>
      <c r="R59" s="47"/>
    </row>
    <row r="60" spans="1:25" x14ac:dyDescent="0.25">
      <c r="A60" s="17"/>
      <c r="B60" s="17"/>
      <c r="C60" s="17"/>
      <c r="D60" s="94"/>
      <c r="E60" s="36" t="s">
        <v>412</v>
      </c>
      <c r="F60" s="36" t="s">
        <v>412</v>
      </c>
      <c r="G60" s="36"/>
      <c r="H60" s="307">
        <f>IF(G60&gt;0,VLOOKUP(F60&amp;E60&amp;G60,Data!$AC$60:$AF$382,4,0),0)</f>
        <v>0</v>
      </c>
      <c r="I60" s="36"/>
      <c r="J60" s="36" t="s">
        <v>412</v>
      </c>
      <c r="K60" s="36" t="s">
        <v>412</v>
      </c>
      <c r="L60" s="36"/>
      <c r="M60" s="243">
        <f>IF(L60&gt;0,VLOOKUP(K60&amp;L60,Data!$AI$60:$AL$402,4,0),0)</f>
        <v>0</v>
      </c>
      <c r="N60" s="17"/>
      <c r="O60" s="579">
        <v>0</v>
      </c>
      <c r="P60" s="17"/>
      <c r="Q60" s="17"/>
      <c r="R60" s="47"/>
    </row>
    <row r="61" spans="1:25" ht="15.75" thickBot="1" x14ac:dyDescent="0.3">
      <c r="A61" s="17"/>
      <c r="B61" s="17"/>
      <c r="C61" s="17"/>
      <c r="D61" s="94"/>
      <c r="E61" s="36" t="s">
        <v>412</v>
      </c>
      <c r="F61" s="36" t="s">
        <v>412</v>
      </c>
      <c r="G61" s="36"/>
      <c r="H61" s="307">
        <f>IF(G61&gt;0,VLOOKUP(F61&amp;E61&amp;G61,Data!$AC$60:$AF$382,4,0),0)</f>
        <v>0</v>
      </c>
      <c r="I61" s="36"/>
      <c r="J61" s="36" t="s">
        <v>412</v>
      </c>
      <c r="K61" s="36" t="s">
        <v>412</v>
      </c>
      <c r="L61" s="36"/>
      <c r="M61" s="243">
        <f>IF(L61&gt;0,VLOOKUP(K61&amp;L61,Data!$AI$60:$AL$402,4,0),0)</f>
        <v>0</v>
      </c>
      <c r="N61" s="17"/>
      <c r="O61" s="579">
        <v>0</v>
      </c>
      <c r="P61" s="17"/>
      <c r="Q61" s="17"/>
      <c r="R61" s="47"/>
    </row>
    <row r="62" spans="1:25" s="34" customFormat="1" ht="21.75" thickBot="1" x14ac:dyDescent="0.4">
      <c r="A62" s="33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234"/>
      <c r="Q62" s="234"/>
      <c r="R62" s="38"/>
      <c r="Y62" s="40"/>
    </row>
    <row r="63" spans="1:25" x14ac:dyDescent="0.25">
      <c r="A63" s="1"/>
    </row>
    <row r="64" spans="1:25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</sheetData>
  <mergeCells count="7">
    <mergeCell ref="B2:C2"/>
    <mergeCell ref="P2:Q2"/>
    <mergeCell ref="E2:I2"/>
    <mergeCell ref="J2:M2"/>
    <mergeCell ref="J5:M5"/>
    <mergeCell ref="N2:O2"/>
    <mergeCell ref="N5:O5"/>
  </mergeCells>
  <hyperlinks>
    <hyperlink ref="C1" location="Schip!A1" display="Schip!A1" xr:uid="{00000000-0004-0000-0500-000000000000}"/>
    <hyperlink ref="L1" location="Afbeeldingen!E7" display="Afbeeldingen!E7" xr:uid="{00000000-0004-0000-0500-000001000000}"/>
  </hyperlink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500-000000000000}">
          <x14:formula1>
            <xm:f>'Lopend Want'!$C$2:$C$27</xm:f>
          </x14:formula1>
          <xm:sqref>I10:J10</xm:sqref>
        </x14:dataValidation>
        <x14:dataValidation type="list" allowBlank="1" showInputMessage="1" showErrorMessage="1" xr:uid="{00000000-0002-0000-0500-000001000000}">
          <x14:formula1>
            <xm:f>Data!$AD$4:$AD$16</xm:f>
          </x14:formula1>
          <xm:sqref>F6:F9 F11:F22 F24:F35 F37:F48 F50:F61</xm:sqref>
        </x14:dataValidation>
        <x14:dataValidation type="list" allowBlank="1" showInputMessage="1" showErrorMessage="1" xr:uid="{00000000-0002-0000-0500-000002000000}">
          <x14:formula1>
            <xm:f>Data!$AC$4:$AC$11</xm:f>
          </x14:formula1>
          <xm:sqref>E6:E9 E11:E22 E24:E35 E37:E48 E50:E61</xm:sqref>
        </x14:dataValidation>
        <x14:dataValidation type="list" allowBlank="1" showInputMessage="1" showErrorMessage="1" xr:uid="{00000000-0002-0000-0500-000003000000}">
          <x14:formula1>
            <xm:f>Data!$AE$4:$AE$28</xm:f>
          </x14:formula1>
          <xm:sqref>G6:G9 G11:G22 G24:G35 G37:G48 G50:G61</xm:sqref>
        </x14:dataValidation>
        <x14:dataValidation type="list" allowBlank="1" showInputMessage="1" showErrorMessage="1" xr:uid="{00000000-0002-0000-0500-000004000000}">
          <x14:formula1>
            <xm:f>Data!$AH$4:$AH$8</xm:f>
          </x14:formula1>
          <xm:sqref>I6:I9 I11:I22 I24:I35 I37:I48 I50:I61</xm:sqref>
        </x14:dataValidation>
        <x14:dataValidation type="list" allowBlank="1" showInputMessage="1" showErrorMessage="1" xr:uid="{00000000-0002-0000-0500-000005000000}">
          <x14:formula1>
            <xm:f>Data!$AI$4:$AI$15</xm:f>
          </x14:formula1>
          <xm:sqref>K50:K61 K11:K22 K6:K9 K37:K48 K24:K35</xm:sqref>
        </x14:dataValidation>
        <x14:dataValidation type="list" allowBlank="1" showInputMessage="1" showErrorMessage="1" xr:uid="{00000000-0002-0000-0500-000006000000}">
          <x14:formula1>
            <xm:f>Data!$U$4:$U$8</xm:f>
          </x14:formula1>
          <xm:sqref>B6:B8</xm:sqref>
        </x14:dataValidation>
        <x14:dataValidation type="list" allowBlank="1" showInputMessage="1" showErrorMessage="1" xr:uid="{00000000-0002-0000-0500-000007000000}">
          <x14:formula1>
            <xm:f>Data!$W$4:$W$19</xm:f>
          </x14:formula1>
          <xm:sqref>B11:B20 B50:B59 B37:B46 B24:B33</xm:sqref>
        </x14:dataValidation>
        <x14:dataValidation type="list" allowBlank="1" showInputMessage="1" showErrorMessage="1" xr:uid="{00000000-0002-0000-0500-000008000000}">
          <x14:formula1>
            <xm:f>Data!$AJ$4:$AJ$11</xm:f>
          </x14:formula1>
          <xm:sqref>J6:J9 J11:J22 J50:J61 J37:J48 J24:J35</xm:sqref>
        </x14:dataValidation>
        <x14:dataValidation type="list" allowBlank="1" showInputMessage="1" showErrorMessage="1" xr:uid="{00000000-0002-0000-0500-000009000000}">
          <x14:formula1>
            <xm:f>Data!$AK$4:$AK$46</xm:f>
          </x14:formula1>
          <xm:sqref>L6:L9 L50:L61 L37:L48 L24:L35 L11:L22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J54"/>
  <sheetViews>
    <sheetView workbookViewId="0">
      <pane ySplit="3" topLeftCell="A4" activePane="bottomLeft" state="frozen"/>
      <selection pane="bottomLeft" activeCell="B1" sqref="B1"/>
    </sheetView>
  </sheetViews>
  <sheetFormatPr defaultColWidth="9.140625" defaultRowHeight="15" x14ac:dyDescent="0.25"/>
  <cols>
    <col min="2" max="2" width="17.5703125" customWidth="1"/>
    <col min="3" max="3" width="23.140625" style="19" customWidth="1"/>
    <col min="4" max="4" width="15.42578125" style="19" customWidth="1"/>
    <col min="5" max="6" width="53.5703125" customWidth="1"/>
    <col min="7" max="7" width="17.42578125" customWidth="1"/>
    <col min="8" max="8" width="44.5703125" customWidth="1"/>
    <col min="9" max="9" width="38.42578125" customWidth="1"/>
  </cols>
  <sheetData>
    <row r="1" spans="1:10" s="271" customFormat="1" ht="27" thickBot="1" x14ac:dyDescent="0.45">
      <c r="A1" s="271" t="s">
        <v>571</v>
      </c>
      <c r="C1" s="276"/>
      <c r="D1" s="276"/>
      <c r="E1" s="291" t="s">
        <v>595</v>
      </c>
      <c r="F1" s="277" t="s">
        <v>573</v>
      </c>
      <c r="G1" s="277"/>
    </row>
    <row r="2" spans="1:10" ht="29.25" thickBot="1" x14ac:dyDescent="0.5">
      <c r="A2" s="248"/>
      <c r="B2" s="590" t="s">
        <v>554</v>
      </c>
      <c r="C2" s="591"/>
      <c r="D2" s="591"/>
      <c r="E2" s="591"/>
      <c r="F2" s="591"/>
      <c r="G2" s="592"/>
      <c r="H2" s="592"/>
      <c r="I2" s="593"/>
      <c r="J2" s="248"/>
    </row>
    <row r="3" spans="1:10" ht="15.75" customHeight="1" thickBot="1" x14ac:dyDescent="0.3">
      <c r="A3" s="248"/>
      <c r="B3" s="256" t="s">
        <v>149</v>
      </c>
      <c r="C3" s="79" t="s">
        <v>2</v>
      </c>
      <c r="D3" s="79" t="s">
        <v>558</v>
      </c>
      <c r="E3" s="255" t="s">
        <v>555</v>
      </c>
      <c r="F3" s="255" t="s">
        <v>569</v>
      </c>
      <c r="G3" s="255" t="s">
        <v>556</v>
      </c>
      <c r="H3" s="254" t="s">
        <v>408</v>
      </c>
      <c r="I3" s="253" t="s">
        <v>557</v>
      </c>
      <c r="J3" s="249"/>
    </row>
    <row r="4" spans="1:10" ht="20.100000000000001" customHeight="1" x14ac:dyDescent="0.25">
      <c r="A4" s="248"/>
      <c r="B4" s="273"/>
      <c r="C4" s="16"/>
      <c r="D4" s="16"/>
      <c r="E4" s="274"/>
      <c r="F4" s="274"/>
      <c r="G4" s="264"/>
      <c r="H4" s="251"/>
      <c r="I4" s="258"/>
      <c r="J4" s="248"/>
    </row>
    <row r="5" spans="1:10" ht="20.100000000000001" customHeight="1" x14ac:dyDescent="0.25">
      <c r="A5" s="248"/>
      <c r="B5" s="266"/>
      <c r="C5" s="16"/>
      <c r="D5" s="16"/>
      <c r="E5" s="250"/>
      <c r="F5" s="250"/>
      <c r="G5" s="264"/>
      <c r="H5" s="251"/>
      <c r="I5" s="258"/>
      <c r="J5" s="248"/>
    </row>
    <row r="6" spans="1:10" ht="20.100000000000001" customHeight="1" x14ac:dyDescent="0.25">
      <c r="A6" s="248"/>
      <c r="B6" s="266"/>
      <c r="C6" s="16"/>
      <c r="D6" s="16"/>
      <c r="E6" s="250"/>
      <c r="F6" s="250"/>
      <c r="G6" s="264"/>
      <c r="H6" s="251"/>
      <c r="I6" s="258"/>
      <c r="J6" s="248"/>
    </row>
    <row r="7" spans="1:10" ht="20.100000000000001" customHeight="1" x14ac:dyDescent="0.25">
      <c r="A7" s="248"/>
      <c r="B7" s="266"/>
      <c r="C7" s="16"/>
      <c r="D7" s="16"/>
      <c r="E7" s="250"/>
      <c r="F7" s="250"/>
      <c r="G7" s="264"/>
      <c r="H7" s="251"/>
      <c r="I7" s="258"/>
      <c r="J7" s="248"/>
    </row>
    <row r="8" spans="1:10" ht="20.100000000000001" customHeight="1" x14ac:dyDescent="0.25">
      <c r="A8" s="248"/>
      <c r="B8" s="266"/>
      <c r="C8" s="16"/>
      <c r="D8" s="16"/>
      <c r="E8" s="250"/>
      <c r="F8" s="250"/>
      <c r="G8" s="264"/>
      <c r="H8" s="251"/>
      <c r="I8" s="258"/>
      <c r="J8" s="248"/>
    </row>
    <row r="9" spans="1:10" ht="20.100000000000001" customHeight="1" x14ac:dyDescent="0.25">
      <c r="A9" s="248"/>
      <c r="B9" s="266"/>
      <c r="C9" s="16"/>
      <c r="D9" s="16"/>
      <c r="E9" s="250"/>
      <c r="F9" s="250"/>
      <c r="G9" s="264"/>
      <c r="H9" s="251"/>
      <c r="I9" s="258"/>
      <c r="J9" s="248"/>
    </row>
    <row r="10" spans="1:10" ht="20.100000000000001" customHeight="1" x14ac:dyDescent="0.25">
      <c r="A10" s="248"/>
      <c r="B10" s="266"/>
      <c r="C10" s="16"/>
      <c r="D10" s="16"/>
      <c r="E10" s="250"/>
      <c r="F10" s="250"/>
      <c r="G10" s="264"/>
      <c r="H10" s="251"/>
      <c r="I10" s="258"/>
      <c r="J10" s="248"/>
    </row>
    <row r="11" spans="1:10" ht="20.100000000000001" customHeight="1" x14ac:dyDescent="0.25">
      <c r="A11" s="248"/>
      <c r="B11" s="266"/>
      <c r="C11" s="16"/>
      <c r="D11" s="16"/>
      <c r="E11" s="250"/>
      <c r="F11" s="250"/>
      <c r="G11" s="264"/>
      <c r="H11" s="251"/>
      <c r="I11" s="258"/>
      <c r="J11" s="248"/>
    </row>
    <row r="12" spans="1:10" ht="20.100000000000001" customHeight="1" x14ac:dyDescent="0.25">
      <c r="A12" s="248"/>
      <c r="B12" s="266"/>
      <c r="C12" s="16"/>
      <c r="D12" s="16"/>
      <c r="E12" s="250"/>
      <c r="F12" s="250"/>
      <c r="G12" s="264"/>
      <c r="H12" s="251"/>
      <c r="I12" s="258"/>
      <c r="J12" s="248"/>
    </row>
    <row r="13" spans="1:10" ht="20.100000000000001" customHeight="1" x14ac:dyDescent="0.25">
      <c r="A13" s="248"/>
      <c r="B13" s="266"/>
      <c r="C13" s="16"/>
      <c r="D13" s="16"/>
      <c r="E13" s="250"/>
      <c r="F13" s="250"/>
      <c r="G13" s="264"/>
      <c r="H13" s="251"/>
      <c r="I13" s="258"/>
      <c r="J13" s="248"/>
    </row>
    <row r="14" spans="1:10" ht="20.100000000000001" customHeight="1" x14ac:dyDescent="0.25">
      <c r="A14" s="248"/>
      <c r="B14" s="266"/>
      <c r="C14" s="16"/>
      <c r="D14" s="16"/>
      <c r="E14" s="250"/>
      <c r="F14" s="250"/>
      <c r="G14" s="264"/>
      <c r="H14" s="251"/>
      <c r="I14" s="258"/>
      <c r="J14" s="248"/>
    </row>
    <row r="15" spans="1:10" ht="20.100000000000001" customHeight="1" x14ac:dyDescent="0.25">
      <c r="A15" s="248"/>
      <c r="B15" s="266"/>
      <c r="C15" s="16"/>
      <c r="D15" s="16"/>
      <c r="E15" s="250"/>
      <c r="F15" s="250"/>
      <c r="G15" s="264"/>
      <c r="H15" s="251"/>
      <c r="I15" s="258"/>
      <c r="J15" s="248"/>
    </row>
    <row r="16" spans="1:10" ht="20.100000000000001" customHeight="1" x14ac:dyDescent="0.25">
      <c r="A16" s="248"/>
      <c r="B16" s="266"/>
      <c r="C16" s="16"/>
      <c r="D16" s="16"/>
      <c r="E16" s="250"/>
      <c r="F16" s="250"/>
      <c r="G16" s="264"/>
      <c r="H16" s="251"/>
      <c r="I16" s="258"/>
      <c r="J16" s="248"/>
    </row>
    <row r="17" spans="1:10" ht="20.100000000000001" customHeight="1" x14ac:dyDescent="0.25">
      <c r="A17" s="248"/>
      <c r="B17" s="266"/>
      <c r="C17" s="16"/>
      <c r="D17" s="16"/>
      <c r="E17" s="250"/>
      <c r="F17" s="250"/>
      <c r="G17" s="264"/>
      <c r="H17" s="251"/>
      <c r="I17" s="258"/>
      <c r="J17" s="248"/>
    </row>
    <row r="18" spans="1:10" ht="20.100000000000001" customHeight="1" x14ac:dyDescent="0.25">
      <c r="A18" s="248"/>
      <c r="B18" s="266"/>
      <c r="C18" s="16"/>
      <c r="D18" s="16"/>
      <c r="E18" s="250"/>
      <c r="F18" s="250"/>
      <c r="G18" s="264"/>
      <c r="H18" s="251"/>
      <c r="I18" s="258"/>
      <c r="J18" s="248"/>
    </row>
    <row r="19" spans="1:10" ht="20.100000000000001" customHeight="1" x14ac:dyDescent="0.25">
      <c r="A19" s="248"/>
      <c r="B19" s="266"/>
      <c r="C19" s="16"/>
      <c r="D19" s="16"/>
      <c r="E19" s="250"/>
      <c r="F19" s="250"/>
      <c r="G19" s="264"/>
      <c r="H19" s="251"/>
      <c r="I19" s="258"/>
      <c r="J19" s="248"/>
    </row>
    <row r="20" spans="1:10" ht="20.100000000000001" customHeight="1" x14ac:dyDescent="0.25">
      <c r="A20" s="248"/>
      <c r="B20" s="266"/>
      <c r="C20" s="16"/>
      <c r="D20" s="16"/>
      <c r="E20" s="250"/>
      <c r="F20" s="250"/>
      <c r="G20" s="264"/>
      <c r="H20" s="251"/>
      <c r="I20" s="258"/>
      <c r="J20" s="248"/>
    </row>
    <row r="21" spans="1:10" ht="20.100000000000001" customHeight="1" x14ac:dyDescent="0.25">
      <c r="A21" s="248"/>
      <c r="B21" s="266"/>
      <c r="C21" s="16"/>
      <c r="D21" s="16"/>
      <c r="E21" s="250"/>
      <c r="F21" s="250"/>
      <c r="G21" s="264"/>
      <c r="H21" s="251"/>
      <c r="I21" s="258"/>
      <c r="J21" s="248"/>
    </row>
    <row r="22" spans="1:10" ht="20.100000000000001" customHeight="1" x14ac:dyDescent="0.25">
      <c r="A22" s="248"/>
      <c r="B22" s="266"/>
      <c r="C22" s="16"/>
      <c r="D22" s="16"/>
      <c r="E22" s="250"/>
      <c r="F22" s="250"/>
      <c r="G22" s="264"/>
      <c r="H22" s="251"/>
      <c r="I22" s="258"/>
      <c r="J22" s="248"/>
    </row>
    <row r="23" spans="1:10" ht="20.100000000000001" customHeight="1" x14ac:dyDescent="0.25">
      <c r="A23" s="248"/>
      <c r="B23" s="266"/>
      <c r="C23" s="16"/>
      <c r="D23" s="16"/>
      <c r="E23" s="250"/>
      <c r="F23" s="250"/>
      <c r="G23" s="264"/>
      <c r="H23" s="251"/>
      <c r="I23" s="258"/>
      <c r="J23" s="248"/>
    </row>
    <row r="24" spans="1:10" ht="20.100000000000001" customHeight="1" x14ac:dyDescent="0.25">
      <c r="A24" s="248"/>
      <c r="B24" s="266"/>
      <c r="C24" s="16"/>
      <c r="D24" s="16"/>
      <c r="E24" s="250"/>
      <c r="F24" s="250"/>
      <c r="G24" s="264"/>
      <c r="H24" s="251"/>
      <c r="I24" s="258"/>
      <c r="J24" s="248"/>
    </row>
    <row r="25" spans="1:10" ht="20.100000000000001" customHeight="1" x14ac:dyDescent="0.25">
      <c r="A25" s="248"/>
      <c r="B25" s="266"/>
      <c r="C25" s="16"/>
      <c r="D25" s="16"/>
      <c r="E25" s="250"/>
      <c r="F25" s="250"/>
      <c r="G25" s="264"/>
      <c r="H25" s="251"/>
      <c r="I25" s="258"/>
      <c r="J25" s="248"/>
    </row>
    <row r="26" spans="1:10" ht="20.100000000000001" customHeight="1" x14ac:dyDescent="0.25">
      <c r="A26" s="248"/>
      <c r="B26" s="266"/>
      <c r="C26" s="16"/>
      <c r="D26" s="16"/>
      <c r="E26" s="250"/>
      <c r="F26" s="250"/>
      <c r="G26" s="264"/>
      <c r="H26" s="251"/>
      <c r="I26" s="258"/>
      <c r="J26" s="248"/>
    </row>
    <row r="27" spans="1:10" ht="20.100000000000001" customHeight="1" x14ac:dyDescent="0.25">
      <c r="A27" s="248"/>
      <c r="B27" s="266"/>
      <c r="C27" s="16"/>
      <c r="D27" s="16"/>
      <c r="E27" s="250"/>
      <c r="F27" s="250"/>
      <c r="G27" s="264"/>
      <c r="H27" s="251"/>
      <c r="I27" s="258"/>
      <c r="J27" s="248"/>
    </row>
    <row r="28" spans="1:10" ht="20.100000000000001" customHeight="1" x14ac:dyDescent="0.25">
      <c r="A28" s="248"/>
      <c r="B28" s="266"/>
      <c r="C28" s="16"/>
      <c r="D28" s="16"/>
      <c r="E28" s="250"/>
      <c r="F28" s="250"/>
      <c r="G28" s="264"/>
      <c r="H28" s="251"/>
      <c r="I28" s="258"/>
      <c r="J28" s="248"/>
    </row>
    <row r="29" spans="1:10" ht="20.100000000000001" customHeight="1" x14ac:dyDescent="0.25">
      <c r="A29" s="248"/>
      <c r="B29" s="266"/>
      <c r="C29" s="16"/>
      <c r="D29" s="16"/>
      <c r="E29" s="250"/>
      <c r="F29" s="250"/>
      <c r="G29" s="264"/>
      <c r="H29" s="251"/>
      <c r="I29" s="258"/>
      <c r="J29" s="248"/>
    </row>
    <row r="30" spans="1:10" ht="20.100000000000001" customHeight="1" x14ac:dyDescent="0.25">
      <c r="A30" s="248"/>
      <c r="B30" s="266"/>
      <c r="C30" s="16"/>
      <c r="D30" s="16"/>
      <c r="E30" s="250"/>
      <c r="F30" s="250"/>
      <c r="G30" s="264"/>
      <c r="H30" s="251"/>
      <c r="I30" s="258"/>
      <c r="J30" s="248"/>
    </row>
    <row r="31" spans="1:10" ht="20.100000000000001" customHeight="1" x14ac:dyDescent="0.25">
      <c r="A31" s="248"/>
      <c r="B31" s="266"/>
      <c r="C31" s="16"/>
      <c r="D31" s="16"/>
      <c r="E31" s="250"/>
      <c r="F31" s="250"/>
      <c r="G31" s="264"/>
      <c r="H31" s="251"/>
      <c r="I31" s="258"/>
      <c r="J31" s="248"/>
    </row>
    <row r="32" spans="1:10" ht="20.100000000000001" customHeight="1" x14ac:dyDescent="0.25">
      <c r="A32" s="248"/>
      <c r="B32" s="266"/>
      <c r="C32" s="16"/>
      <c r="D32" s="16"/>
      <c r="E32" s="250"/>
      <c r="F32" s="250"/>
      <c r="G32" s="264"/>
      <c r="H32" s="251"/>
      <c r="I32" s="258"/>
      <c r="J32" s="248"/>
    </row>
    <row r="33" spans="1:10" ht="20.100000000000001" customHeight="1" x14ac:dyDescent="0.25">
      <c r="A33" s="248"/>
      <c r="B33" s="266"/>
      <c r="C33" s="16"/>
      <c r="D33" s="16"/>
      <c r="E33" s="250"/>
      <c r="F33" s="250"/>
      <c r="G33" s="264"/>
      <c r="H33" s="251"/>
      <c r="I33" s="258"/>
      <c r="J33" s="248"/>
    </row>
    <row r="34" spans="1:10" ht="20.100000000000001" customHeight="1" x14ac:dyDescent="0.25">
      <c r="A34" s="248"/>
      <c r="B34" s="266"/>
      <c r="C34" s="16"/>
      <c r="D34" s="16"/>
      <c r="E34" s="250"/>
      <c r="F34" s="250"/>
      <c r="G34" s="264"/>
      <c r="H34" s="251"/>
      <c r="I34" s="258"/>
      <c r="J34" s="248"/>
    </row>
    <row r="35" spans="1:10" ht="20.100000000000001" customHeight="1" x14ac:dyDescent="0.25">
      <c r="A35" s="248"/>
      <c r="B35" s="266"/>
      <c r="C35" s="16"/>
      <c r="D35" s="16"/>
      <c r="E35" s="250"/>
      <c r="F35" s="250"/>
      <c r="G35" s="264"/>
      <c r="H35" s="251"/>
      <c r="I35" s="258"/>
      <c r="J35" s="248"/>
    </row>
    <row r="36" spans="1:10" ht="20.100000000000001" customHeight="1" x14ac:dyDescent="0.25">
      <c r="A36" s="248"/>
      <c r="B36" s="266"/>
      <c r="C36" s="16"/>
      <c r="D36" s="16"/>
      <c r="E36" s="250"/>
      <c r="F36" s="250"/>
      <c r="G36" s="264"/>
      <c r="H36" s="251"/>
      <c r="I36" s="258"/>
      <c r="J36" s="248"/>
    </row>
    <row r="37" spans="1:10" ht="20.100000000000001" customHeight="1" x14ac:dyDescent="0.25">
      <c r="A37" s="248"/>
      <c r="B37" s="266"/>
      <c r="C37" s="16"/>
      <c r="D37" s="16"/>
      <c r="E37" s="250"/>
      <c r="F37" s="250"/>
      <c r="G37" s="264"/>
      <c r="H37" s="251"/>
      <c r="I37" s="258"/>
      <c r="J37" s="248"/>
    </row>
    <row r="38" spans="1:10" ht="20.100000000000001" customHeight="1" x14ac:dyDescent="0.25">
      <c r="A38" s="248"/>
      <c r="B38" s="266"/>
      <c r="C38" s="16"/>
      <c r="D38" s="16"/>
      <c r="E38" s="250"/>
      <c r="F38" s="250"/>
      <c r="G38" s="264"/>
      <c r="H38" s="251"/>
      <c r="I38" s="258"/>
      <c r="J38" s="248"/>
    </row>
    <row r="39" spans="1:10" ht="20.100000000000001" customHeight="1" x14ac:dyDescent="0.25">
      <c r="A39" s="248"/>
      <c r="B39" s="266"/>
      <c r="C39" s="16"/>
      <c r="D39" s="16"/>
      <c r="E39" s="250"/>
      <c r="F39" s="250"/>
      <c r="G39" s="264"/>
      <c r="H39" s="251"/>
      <c r="I39" s="259"/>
      <c r="J39" s="249"/>
    </row>
    <row r="40" spans="1:10" ht="20.100000000000001" customHeight="1" x14ac:dyDescent="0.25">
      <c r="A40" s="248"/>
      <c r="B40" s="266"/>
      <c r="C40" s="16"/>
      <c r="D40" s="16"/>
      <c r="E40" s="250"/>
      <c r="F40" s="250"/>
      <c r="G40" s="264"/>
      <c r="H40" s="251"/>
      <c r="I40" s="257"/>
      <c r="J40" s="248"/>
    </row>
    <row r="41" spans="1:10" ht="20.100000000000001" customHeight="1" x14ac:dyDescent="0.25">
      <c r="A41" s="248"/>
      <c r="B41" s="266"/>
      <c r="C41" s="16"/>
      <c r="D41" s="16"/>
      <c r="E41" s="250"/>
      <c r="F41" s="250"/>
      <c r="G41" s="264"/>
      <c r="H41" s="251"/>
      <c r="I41" s="257"/>
      <c r="J41" s="248"/>
    </row>
    <row r="42" spans="1:10" ht="20.100000000000001" customHeight="1" x14ac:dyDescent="0.25">
      <c r="A42" s="248"/>
      <c r="B42" s="266"/>
      <c r="C42" s="16"/>
      <c r="D42" s="16"/>
      <c r="E42" s="250"/>
      <c r="F42" s="250"/>
      <c r="G42" s="264"/>
      <c r="H42" s="251"/>
      <c r="I42" s="257"/>
      <c r="J42" s="248"/>
    </row>
    <row r="43" spans="1:10" ht="20.100000000000001" customHeight="1" x14ac:dyDescent="0.25">
      <c r="A43" s="248"/>
      <c r="B43" s="266"/>
      <c r="C43" s="16"/>
      <c r="D43" s="16"/>
      <c r="E43" s="250"/>
      <c r="F43" s="250"/>
      <c r="G43" s="264"/>
      <c r="H43" s="251"/>
      <c r="I43" s="258"/>
      <c r="J43" s="248"/>
    </row>
    <row r="44" spans="1:10" ht="20.100000000000001" customHeight="1" x14ac:dyDescent="0.25">
      <c r="A44" s="248"/>
      <c r="B44" s="266"/>
      <c r="C44" s="16"/>
      <c r="D44" s="16"/>
      <c r="E44" s="250"/>
      <c r="F44" s="250"/>
      <c r="G44" s="264"/>
      <c r="H44" s="251"/>
      <c r="I44" s="261"/>
      <c r="J44" s="249"/>
    </row>
    <row r="45" spans="1:10" ht="20.100000000000001" customHeight="1" x14ac:dyDescent="0.25">
      <c r="B45" s="266"/>
      <c r="C45" s="16"/>
      <c r="D45" s="16"/>
      <c r="E45" s="250"/>
      <c r="F45" s="250"/>
      <c r="G45" s="264"/>
      <c r="H45" s="251"/>
      <c r="I45" s="257"/>
    </row>
    <row r="46" spans="1:10" ht="20.100000000000001" customHeight="1" x14ac:dyDescent="0.25">
      <c r="B46" s="266"/>
      <c r="C46" s="16"/>
      <c r="D46" s="16"/>
      <c r="E46" s="250"/>
      <c r="F46" s="250"/>
      <c r="G46" s="264"/>
      <c r="H46" s="251"/>
      <c r="I46" s="258"/>
    </row>
    <row r="47" spans="1:10" ht="20.100000000000001" customHeight="1" x14ac:dyDescent="0.25">
      <c r="B47" s="266"/>
      <c r="C47" s="16"/>
      <c r="D47" s="16"/>
      <c r="E47" s="250"/>
      <c r="F47" s="250"/>
      <c r="G47" s="264"/>
      <c r="H47" s="251"/>
      <c r="I47" s="258"/>
    </row>
    <row r="48" spans="1:10" ht="20.100000000000001" customHeight="1" x14ac:dyDescent="0.25">
      <c r="B48" s="266"/>
      <c r="C48" s="16"/>
      <c r="D48" s="16"/>
      <c r="E48" s="250"/>
      <c r="F48" s="250"/>
      <c r="G48" s="264"/>
      <c r="H48" s="251"/>
      <c r="I48" s="262"/>
    </row>
    <row r="49" spans="2:9" ht="20.100000000000001" customHeight="1" x14ac:dyDescent="0.25">
      <c r="B49" s="266"/>
      <c r="C49" s="16"/>
      <c r="D49" s="16"/>
      <c r="E49" s="250"/>
      <c r="F49" s="250"/>
      <c r="G49" s="264"/>
      <c r="H49" s="251"/>
      <c r="I49" s="257"/>
    </row>
    <row r="50" spans="2:9" ht="20.100000000000001" customHeight="1" x14ac:dyDescent="0.25">
      <c r="B50" s="266"/>
      <c r="C50" s="16"/>
      <c r="D50" s="16"/>
      <c r="E50" s="250"/>
      <c r="F50" s="250"/>
      <c r="G50" s="264"/>
      <c r="H50" s="251"/>
      <c r="I50" s="257"/>
    </row>
    <row r="51" spans="2:9" ht="20.100000000000001" customHeight="1" x14ac:dyDescent="0.25">
      <c r="B51" s="266"/>
      <c r="C51" s="16"/>
      <c r="D51" s="16"/>
      <c r="E51" s="250"/>
      <c r="F51" s="250"/>
      <c r="G51" s="264"/>
      <c r="H51" s="251"/>
      <c r="I51" s="258"/>
    </row>
    <row r="52" spans="2:9" ht="20.100000000000001" customHeight="1" x14ac:dyDescent="0.25">
      <c r="B52" s="266"/>
      <c r="C52" s="16"/>
      <c r="D52" s="16"/>
      <c r="E52" s="250"/>
      <c r="F52" s="250"/>
      <c r="G52" s="264"/>
      <c r="H52" s="251"/>
      <c r="I52" s="263"/>
    </row>
    <row r="53" spans="2:9" ht="20.100000000000001" customHeight="1" x14ac:dyDescent="0.25">
      <c r="B53" s="266"/>
      <c r="C53" s="16"/>
      <c r="D53" s="16"/>
      <c r="E53" s="250"/>
      <c r="F53" s="250"/>
      <c r="G53" s="264"/>
      <c r="H53" s="251"/>
      <c r="I53" s="257"/>
    </row>
    <row r="54" spans="2:9" ht="20.100000000000001" customHeight="1" thickBot="1" x14ac:dyDescent="0.3">
      <c r="B54" s="267"/>
      <c r="C54" s="16"/>
      <c r="D54" s="16"/>
      <c r="E54" s="250"/>
      <c r="F54" s="275"/>
      <c r="G54" s="265"/>
      <c r="H54" s="252"/>
      <c r="I54" s="260"/>
    </row>
  </sheetData>
  <mergeCells count="1">
    <mergeCell ref="B2:I2"/>
  </mergeCells>
  <conditionalFormatting sqref="D4:D54">
    <cfRule type="containsText" dxfId="3" priority="1" operator="containsText" text="Slecht">
      <formula>NOT(ISERROR(SEARCH("Slecht",D4)))</formula>
    </cfRule>
    <cfRule type="containsText" dxfId="2" priority="2" operator="containsText" text="Goed">
      <formula>NOT(ISERROR(SEARCH("Goed",D4)))</formula>
    </cfRule>
  </conditionalFormatting>
  <hyperlinks>
    <hyperlink ref="F1" location="Schip!A1" display="Schip!A1" xr:uid="{00000000-0004-0000-06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Data!$BM$4:$BM$8</xm:f>
          </x14:formula1>
          <xm:sqref>D4:D54</xm:sqref>
        </x14:dataValidation>
        <x14:dataValidation type="list" allowBlank="1" showInputMessage="1" showErrorMessage="1" xr:uid="{00000000-0002-0000-0600-000001000000}">
          <x14:formula1>
            <xm:f>Data!$U$60:$U$73</xm:f>
          </x14:formula1>
          <xm:sqref>C4:C54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AG85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5" x14ac:dyDescent="0.25"/>
  <cols>
    <col min="1" max="1" width="23.5703125" customWidth="1"/>
    <col min="2" max="2" width="41" style="18" customWidth="1"/>
    <col min="3" max="3" width="9.42578125" style="97" customWidth="1"/>
    <col min="4" max="4" width="6.5703125" style="97" customWidth="1"/>
    <col min="5" max="5" width="16.5703125" style="18" customWidth="1"/>
    <col min="6" max="6" width="14.5703125" style="18" customWidth="1"/>
    <col min="7" max="7" width="11.140625" style="18" customWidth="1"/>
    <col min="8" max="8" width="11" style="18" customWidth="1"/>
    <col min="9" max="9" width="19.5703125" style="97" customWidth="1"/>
    <col min="10" max="10" width="8.5703125" style="97" customWidth="1"/>
    <col min="11" max="11" width="11.85546875" style="97" customWidth="1"/>
    <col min="12" max="12" width="12.85546875" style="18" customWidth="1"/>
    <col min="13" max="13" width="15.140625" style="18" customWidth="1"/>
    <col min="14" max="14" width="11" style="97" customWidth="1"/>
    <col min="15" max="15" width="11.42578125" style="97" customWidth="1"/>
    <col min="16" max="16" width="10.42578125" style="18" customWidth="1"/>
    <col min="17" max="17" width="10.42578125" style="97" customWidth="1"/>
    <col min="18" max="18" width="11.85546875" style="97" customWidth="1"/>
    <col min="19" max="19" width="8.5703125" style="97" customWidth="1"/>
    <col min="20" max="20" width="11.85546875" style="97" customWidth="1"/>
    <col min="21" max="21" width="15.5703125" style="18" customWidth="1"/>
    <col min="22" max="22" width="15.5703125" style="97" customWidth="1"/>
    <col min="23" max="23" width="74.85546875" customWidth="1"/>
    <col min="24" max="24" width="9.140625" style="64"/>
    <col min="26" max="16384" width="9.140625" style="1"/>
  </cols>
  <sheetData>
    <row r="1" spans="1:33" s="82" customFormat="1" ht="24" thickBot="1" x14ac:dyDescent="0.4">
      <c r="A1" s="80" t="s">
        <v>128</v>
      </c>
      <c r="B1" s="292" t="s">
        <v>594</v>
      </c>
      <c r="C1" s="293" t="s">
        <v>573</v>
      </c>
      <c r="D1" s="293"/>
      <c r="E1" s="20" t="s">
        <v>62</v>
      </c>
      <c r="F1" s="22" t="s">
        <v>70</v>
      </c>
      <c r="J1" s="81"/>
      <c r="K1" s="81"/>
      <c r="L1" s="245"/>
      <c r="M1" s="613"/>
      <c r="N1" s="613"/>
      <c r="O1" s="613"/>
      <c r="P1" s="613"/>
      <c r="Q1" s="613"/>
      <c r="R1" s="613"/>
      <c r="S1" s="613"/>
      <c r="T1" s="614"/>
      <c r="U1" s="238"/>
      <c r="V1" s="81"/>
      <c r="W1" s="272"/>
      <c r="X1" s="353"/>
      <c r="Y1" s="272"/>
    </row>
    <row r="2" spans="1:33" s="84" customFormat="1" ht="19.5" thickBot="1" x14ac:dyDescent="0.35">
      <c r="A2" s="83" t="s">
        <v>80</v>
      </c>
      <c r="B2" s="610" t="s">
        <v>601</v>
      </c>
      <c r="C2" s="615"/>
      <c r="D2" s="87"/>
      <c r="E2" s="610" t="s">
        <v>129</v>
      </c>
      <c r="F2" s="612"/>
      <c r="G2" s="612"/>
      <c r="H2" s="612"/>
      <c r="I2" s="611"/>
      <c r="J2" s="612" t="s">
        <v>103</v>
      </c>
      <c r="K2" s="611"/>
      <c r="L2" s="610" t="s">
        <v>130</v>
      </c>
      <c r="M2" s="612"/>
      <c r="N2" s="612"/>
      <c r="O2" s="612"/>
      <c r="P2" s="610" t="s">
        <v>874</v>
      </c>
      <c r="Q2" s="612"/>
      <c r="R2" s="612"/>
      <c r="S2" s="610" t="s">
        <v>103</v>
      </c>
      <c r="T2" s="611"/>
      <c r="U2" s="610" t="s">
        <v>530</v>
      </c>
      <c r="V2" s="611"/>
      <c r="W2" s="351" t="s">
        <v>409</v>
      </c>
      <c r="X2" s="351"/>
      <c r="Y2" s="352"/>
    </row>
    <row r="3" spans="1:33" s="388" customFormat="1" ht="19.5" thickBot="1" x14ac:dyDescent="0.35">
      <c r="B3" s="389" t="s">
        <v>1</v>
      </c>
      <c r="C3" s="390" t="s">
        <v>104</v>
      </c>
      <c r="D3" s="396" t="s">
        <v>666</v>
      </c>
      <c r="E3" s="389" t="s">
        <v>4</v>
      </c>
      <c r="F3" s="389" t="s">
        <v>99</v>
      </c>
      <c r="G3" s="391" t="s">
        <v>773</v>
      </c>
      <c r="H3" s="422" t="s">
        <v>772</v>
      </c>
      <c r="I3" s="392" t="s">
        <v>100</v>
      </c>
      <c r="J3" s="392" t="s">
        <v>5</v>
      </c>
      <c r="K3" s="392" t="s">
        <v>783</v>
      </c>
      <c r="L3" s="393" t="s">
        <v>4</v>
      </c>
      <c r="M3" s="393" t="s">
        <v>5</v>
      </c>
      <c r="N3" s="391" t="s">
        <v>773</v>
      </c>
      <c r="O3" s="422" t="s">
        <v>772</v>
      </c>
      <c r="P3" s="393" t="s">
        <v>779</v>
      </c>
      <c r="Q3" s="392" t="s">
        <v>780</v>
      </c>
      <c r="R3" s="392" t="s">
        <v>782</v>
      </c>
      <c r="S3" s="392" t="s">
        <v>5</v>
      </c>
      <c r="T3" s="392" t="s">
        <v>782</v>
      </c>
      <c r="U3" s="440"/>
      <c r="V3" s="440"/>
      <c r="W3" s="394"/>
      <c r="X3" s="395"/>
      <c r="Y3" s="394"/>
    </row>
    <row r="4" spans="1:33" s="388" customFormat="1" ht="19.5" thickBot="1" x14ac:dyDescent="0.35">
      <c r="B4" s="390"/>
      <c r="C4" s="416" t="s">
        <v>766</v>
      </c>
      <c r="D4" s="417"/>
      <c r="E4" s="390"/>
      <c r="F4" s="416"/>
      <c r="G4" s="418" t="s">
        <v>311</v>
      </c>
      <c r="H4" s="418" t="s">
        <v>461</v>
      </c>
      <c r="I4" s="419"/>
      <c r="J4" s="419"/>
      <c r="K4" s="419" t="s">
        <v>461</v>
      </c>
      <c r="L4" s="392" t="s">
        <v>836</v>
      </c>
      <c r="M4" s="419"/>
      <c r="N4" s="418" t="s">
        <v>311</v>
      </c>
      <c r="O4" s="418" t="s">
        <v>461</v>
      </c>
      <c r="P4" s="419"/>
      <c r="Q4" s="419"/>
      <c r="R4" s="419" t="s">
        <v>461</v>
      </c>
      <c r="S4" s="419"/>
      <c r="T4" s="419" t="s">
        <v>461</v>
      </c>
      <c r="U4" s="420"/>
      <c r="V4" s="421"/>
      <c r="W4" s="394"/>
      <c r="X4" s="395"/>
      <c r="Y4" s="394"/>
    </row>
    <row r="5" spans="1:33" s="84" customFormat="1" ht="21.75" thickBot="1" x14ac:dyDescent="0.4">
      <c r="A5" s="85" t="s">
        <v>92</v>
      </c>
      <c r="B5" s="269"/>
      <c r="C5" s="270"/>
      <c r="D5" s="384"/>
      <c r="E5" s="269"/>
      <c r="F5" s="384"/>
      <c r="G5" s="384"/>
      <c r="H5" s="384"/>
      <c r="I5" s="270"/>
      <c r="J5" s="608"/>
      <c r="K5" s="609"/>
      <c r="L5" s="607"/>
      <c r="M5" s="608"/>
      <c r="N5" s="608"/>
      <c r="O5" s="608"/>
      <c r="P5" s="608"/>
      <c r="Q5" s="608"/>
      <c r="R5" s="608"/>
      <c r="S5" s="608"/>
      <c r="T5" s="609"/>
      <c r="U5" s="246"/>
      <c r="V5" s="247"/>
      <c r="W5" s="88"/>
      <c r="X5" s="354"/>
      <c r="Y5" s="88"/>
    </row>
    <row r="6" spans="1:33" s="12" customFormat="1" x14ac:dyDescent="0.25">
      <c r="A6" s="236">
        <f>VLOOKUP(B6,Data!$AR$4:$AS$11,2,FALSE)</f>
        <v>0</v>
      </c>
      <c r="B6" s="36" t="s">
        <v>412</v>
      </c>
      <c r="C6" s="144"/>
      <c r="D6" s="358" t="str">
        <f>+VLOOKUP(B6,Data!$AR$60:$AS$109,2,0)</f>
        <v>-</v>
      </c>
      <c r="E6" s="36" t="s">
        <v>407</v>
      </c>
      <c r="F6" s="36" t="s">
        <v>412</v>
      </c>
      <c r="G6" s="36"/>
      <c r="H6" s="243">
        <f>+IF(G6&gt;0,VLOOKUP(F6&amp;E6&amp;G6,Data!$AY$60:$BC$496,4,0),0)</f>
        <v>0</v>
      </c>
      <c r="I6" s="240"/>
      <c r="J6" s="15"/>
      <c r="K6" s="579">
        <v>0</v>
      </c>
      <c r="L6" s="36"/>
      <c r="M6" s="37"/>
      <c r="N6" s="36"/>
      <c r="O6" s="243">
        <f>+IF(N6&gt;0,VLOOKUP(M6&amp;L6&amp;N6,Data!$AY$60:$BC$496,4,0),0)</f>
        <v>0</v>
      </c>
      <c r="P6" s="36"/>
      <c r="Q6" s="36"/>
      <c r="R6" s="579">
        <v>0</v>
      </c>
      <c r="S6" s="15"/>
      <c r="T6" s="579">
        <v>0</v>
      </c>
      <c r="U6" s="15"/>
      <c r="V6" s="144"/>
      <c r="W6" s="45"/>
      <c r="X6" s="64"/>
      <c r="Y6"/>
    </row>
    <row r="7" spans="1:33" x14ac:dyDescent="0.25">
      <c r="A7" s="236">
        <f>VLOOKUP(B7,Data!$AR$4:$AS$11,2,FALSE)</f>
        <v>0</v>
      </c>
      <c r="B7" s="36" t="s">
        <v>412</v>
      </c>
      <c r="C7" s="145"/>
      <c r="D7" s="358" t="str">
        <f>+VLOOKUP(B7,Data!$AR$60:$AS$109,2,0)</f>
        <v>-</v>
      </c>
      <c r="E7" s="36" t="s">
        <v>407</v>
      </c>
      <c r="F7" s="36" t="s">
        <v>412</v>
      </c>
      <c r="G7" s="36"/>
      <c r="H7" s="243">
        <f>+IF(G7&gt;0,VLOOKUP(F7&amp;E7&amp;G7,Data!$AY$60:$BC$496,4,0),0)</f>
        <v>0</v>
      </c>
      <c r="I7" s="240"/>
      <c r="J7" s="15"/>
      <c r="K7" s="579">
        <v>0</v>
      </c>
      <c r="L7" s="36"/>
      <c r="M7" s="37"/>
      <c r="N7" s="36"/>
      <c r="O7" s="243">
        <f>+IF(N7&gt;0,VLOOKUP(M7&amp;L7&amp;N7,Data!$AY$60:$BC$496,4,0),0)</f>
        <v>0</v>
      </c>
      <c r="P7" s="36"/>
      <c r="Q7" s="36"/>
      <c r="R7" s="579">
        <v>0</v>
      </c>
      <c r="S7" s="15"/>
      <c r="T7" s="579">
        <v>0</v>
      </c>
      <c r="U7" s="17"/>
      <c r="V7" s="145"/>
      <c r="W7" s="47"/>
    </row>
    <row r="8" spans="1:33" x14ac:dyDescent="0.25">
      <c r="A8" s="236">
        <f>VLOOKUP(B8,Data!$AR$4:$AS$11,2,FALSE)</f>
        <v>0</v>
      </c>
      <c r="B8" s="36" t="s">
        <v>412</v>
      </c>
      <c r="C8" s="145"/>
      <c r="D8" s="358" t="str">
        <f>+VLOOKUP(B8,Data!$AR$60:$AS$109,2,0)</f>
        <v>-</v>
      </c>
      <c r="E8" s="36" t="s">
        <v>407</v>
      </c>
      <c r="F8" s="36" t="s">
        <v>412</v>
      </c>
      <c r="G8" s="36"/>
      <c r="H8" s="243">
        <f>+IF(G8&gt;0,VLOOKUP(F8&amp;E8&amp;G8,Data!$AY$60:$BC$496,4,0),0)</f>
        <v>0</v>
      </c>
      <c r="I8" s="240"/>
      <c r="J8" s="15"/>
      <c r="K8" s="579">
        <v>0</v>
      </c>
      <c r="L8" s="36"/>
      <c r="M8" s="37"/>
      <c r="N8" s="36"/>
      <c r="O8" s="243">
        <f>+IF(N8&gt;0,VLOOKUP(M8&amp;L8&amp;N8,Data!$AY$60:$BC$496,4,0),0)</f>
        <v>0</v>
      </c>
      <c r="P8" s="36"/>
      <c r="Q8" s="36"/>
      <c r="R8" s="579">
        <v>0</v>
      </c>
      <c r="S8" s="15"/>
      <c r="T8" s="579">
        <v>0</v>
      </c>
      <c r="U8" s="17"/>
      <c r="V8" s="145"/>
      <c r="W8" s="47"/>
    </row>
    <row r="9" spans="1:33" x14ac:dyDescent="0.25">
      <c r="A9" s="236">
        <f>VLOOKUP(B9,Data!$AR$4:$AS$11,2,FALSE)</f>
        <v>0</v>
      </c>
      <c r="B9" s="36" t="s">
        <v>412</v>
      </c>
      <c r="C9" s="145"/>
      <c r="D9" s="358" t="str">
        <f>+VLOOKUP(B9,Data!$AR$60:$AS$109,2,0)</f>
        <v>-</v>
      </c>
      <c r="E9" s="36" t="s">
        <v>407</v>
      </c>
      <c r="F9" s="36" t="s">
        <v>412</v>
      </c>
      <c r="G9" s="36"/>
      <c r="H9" s="243">
        <f>+IF(G9&gt;0,VLOOKUP(F9&amp;E9&amp;G9,Data!$AY$60:$BC$496,4,0),0)</f>
        <v>0</v>
      </c>
      <c r="I9" s="240"/>
      <c r="J9" s="15"/>
      <c r="K9" s="579">
        <v>0</v>
      </c>
      <c r="L9" s="36"/>
      <c r="M9" s="37"/>
      <c r="N9" s="36"/>
      <c r="O9" s="243">
        <f>+IF(N9&gt;0,VLOOKUP(M9&amp;L9&amp;N9,Data!$AY$60:$BC$496,4,0),0)</f>
        <v>0</v>
      </c>
      <c r="P9" s="36"/>
      <c r="Q9" s="36"/>
      <c r="R9" s="579">
        <v>0</v>
      </c>
      <c r="S9" s="15"/>
      <c r="T9" s="579">
        <v>0</v>
      </c>
      <c r="U9" s="17"/>
      <c r="V9" s="145"/>
      <c r="W9" s="47"/>
    </row>
    <row r="10" spans="1:33" x14ac:dyDescent="0.25">
      <c r="A10" s="236">
        <f>VLOOKUP(B10,Data!$AR$4:$AS$11,2,FALSE)</f>
        <v>0</v>
      </c>
      <c r="B10" s="36" t="s">
        <v>412</v>
      </c>
      <c r="C10" s="145"/>
      <c r="D10" s="358" t="str">
        <f>+VLOOKUP(B10,Data!$AR$60:$AS$109,2,0)</f>
        <v>-</v>
      </c>
      <c r="E10" s="36" t="s">
        <v>407</v>
      </c>
      <c r="F10" s="36" t="s">
        <v>412</v>
      </c>
      <c r="G10" s="36"/>
      <c r="H10" s="243">
        <f>+IF(G10&gt;0,VLOOKUP(F10&amp;E10&amp;G10,Data!$AY$60:$BC$496,4,0),0)</f>
        <v>0</v>
      </c>
      <c r="I10" s="240"/>
      <c r="J10" s="15"/>
      <c r="K10" s="579">
        <v>0</v>
      </c>
      <c r="L10" s="36"/>
      <c r="M10" s="37"/>
      <c r="N10" s="36"/>
      <c r="O10" s="243">
        <f>+IF(N10&gt;0,VLOOKUP(M10&amp;L10&amp;N10,Data!$AY$60:$BC$496,4,0),0)</f>
        <v>0</v>
      </c>
      <c r="P10" s="36"/>
      <c r="Q10" s="36"/>
      <c r="R10" s="579">
        <v>0</v>
      </c>
      <c r="S10" s="15"/>
      <c r="T10" s="579">
        <v>0</v>
      </c>
      <c r="U10" s="17"/>
      <c r="V10" s="145"/>
      <c r="W10" s="47"/>
    </row>
    <row r="11" spans="1:33" x14ac:dyDescent="0.25">
      <c r="A11" s="236">
        <f>VLOOKUP(B11,Data!$AR$4:$AS$11,2,FALSE)</f>
        <v>0</v>
      </c>
      <c r="B11" s="36" t="s">
        <v>412</v>
      </c>
      <c r="C11" s="145"/>
      <c r="D11" s="358" t="str">
        <f>+VLOOKUP(B11,Data!$AR$60:$AS$109,2,0)</f>
        <v>-</v>
      </c>
      <c r="E11" s="36" t="s">
        <v>407</v>
      </c>
      <c r="F11" s="36" t="s">
        <v>412</v>
      </c>
      <c r="G11" s="36"/>
      <c r="H11" s="243">
        <f>+IF(G11&gt;0,VLOOKUP(F11&amp;E11&amp;G11,Data!$AY$60:$BC$496,4,0),0)</f>
        <v>0</v>
      </c>
      <c r="I11" s="240"/>
      <c r="J11" s="15"/>
      <c r="K11" s="579">
        <v>0</v>
      </c>
      <c r="L11" s="36"/>
      <c r="M11" s="37"/>
      <c r="N11" s="36"/>
      <c r="O11" s="243">
        <f>+IF(N11&gt;0,VLOOKUP(M11&amp;L11&amp;N11,Data!$AY$60:$BC$496,4,0),0)</f>
        <v>0</v>
      </c>
      <c r="P11" s="36"/>
      <c r="Q11" s="36"/>
      <c r="R11" s="579">
        <v>0</v>
      </c>
      <c r="S11" s="15"/>
      <c r="T11" s="579">
        <v>0</v>
      </c>
      <c r="U11" s="17"/>
      <c r="V11" s="145"/>
      <c r="W11" s="47"/>
    </row>
    <row r="12" spans="1:33" ht="15.75" thickBot="1" x14ac:dyDescent="0.3">
      <c r="A12" s="145"/>
      <c r="B12" s="145"/>
      <c r="C12" s="145"/>
      <c r="D12" s="358"/>
      <c r="E12" s="36" t="s">
        <v>407</v>
      </c>
      <c r="F12" s="36" t="s">
        <v>412</v>
      </c>
      <c r="G12" s="36"/>
      <c r="H12" s="243">
        <f>+IF(G12&gt;0,VLOOKUP(F12&amp;E12&amp;G12,Data!$AY$60:$BC$496,4,0),0)</f>
        <v>0</v>
      </c>
      <c r="I12" s="240"/>
      <c r="J12" s="15"/>
      <c r="K12" s="579">
        <v>0</v>
      </c>
      <c r="L12" s="36"/>
      <c r="M12" s="37"/>
      <c r="N12" s="36"/>
      <c r="O12" s="243">
        <f>+IF(N12&gt;0,VLOOKUP(M12&amp;L12&amp;N12,Data!$AY$60:$BC$496,4,0),0)</f>
        <v>0</v>
      </c>
      <c r="P12" s="36"/>
      <c r="Q12" s="36"/>
      <c r="R12" s="579">
        <v>0</v>
      </c>
      <c r="S12" s="15"/>
      <c r="T12" s="579">
        <v>0</v>
      </c>
      <c r="U12" s="17"/>
      <c r="V12" s="145"/>
      <c r="W12" s="47"/>
    </row>
    <row r="13" spans="1:33" s="89" customFormat="1" ht="21.75" thickBot="1" x14ac:dyDescent="0.4">
      <c r="A13" s="86" t="s">
        <v>95</v>
      </c>
      <c r="B13" s="239"/>
      <c r="C13" s="87"/>
      <c r="D13" s="87"/>
      <c r="E13" s="239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239"/>
      <c r="X13" s="239"/>
      <c r="Y13" s="239"/>
      <c r="AG13" s="90"/>
    </row>
    <row r="14" spans="1:33" s="12" customFormat="1" x14ac:dyDescent="0.25">
      <c r="A14" s="236">
        <f>VLOOKUP(B14,Data!$AT$4:$AX$31,2,FALSE)</f>
        <v>0</v>
      </c>
      <c r="B14" s="36" t="s">
        <v>412</v>
      </c>
      <c r="C14" s="144"/>
      <c r="D14" s="358" t="str">
        <f>+VLOOKUP(B14,Data!$AR$60:$AS$109,2,0)</f>
        <v>-</v>
      </c>
      <c r="E14" s="36" t="s">
        <v>407</v>
      </c>
      <c r="F14" s="36" t="s">
        <v>412</v>
      </c>
      <c r="G14" s="36"/>
      <c r="H14" s="243">
        <f>+IF(G14&gt;0,VLOOKUP(F14&amp;E14&amp;G14,Data!$AY$60:$BC$496,4,0),0)</f>
        <v>0</v>
      </c>
      <c r="I14" s="240"/>
      <c r="J14" s="15"/>
      <c r="K14" s="579">
        <v>0</v>
      </c>
      <c r="L14" s="36"/>
      <c r="M14" s="37"/>
      <c r="N14" s="36"/>
      <c r="O14" s="243">
        <f>+IF(N14&gt;0,VLOOKUP(M14&amp;L14&amp;N14,Data!$AY$60:$BC$496,4,0),0)</f>
        <v>0</v>
      </c>
      <c r="P14" s="36"/>
      <c r="Q14" s="36"/>
      <c r="R14" s="579">
        <v>0</v>
      </c>
      <c r="S14" s="15"/>
      <c r="T14" s="579">
        <v>0</v>
      </c>
      <c r="U14" s="28"/>
      <c r="V14" s="146"/>
      <c r="W14" s="45"/>
      <c r="X14" s="64"/>
      <c r="Y14"/>
    </row>
    <row r="15" spans="1:33" x14ac:dyDescent="0.25">
      <c r="A15" s="236">
        <f>VLOOKUP(B15,Data!$AT$4:$AX$31,2,FALSE)</f>
        <v>0</v>
      </c>
      <c r="B15" s="36" t="s">
        <v>412</v>
      </c>
      <c r="C15" s="145"/>
      <c r="D15" s="358" t="str">
        <f>+VLOOKUP(B15,Data!$AR$60:$AS$109,2,0)</f>
        <v>-</v>
      </c>
      <c r="E15" s="36" t="s">
        <v>407</v>
      </c>
      <c r="F15" s="36" t="s">
        <v>412</v>
      </c>
      <c r="G15" s="36"/>
      <c r="H15" s="243">
        <f>+IF(G15&gt;0,VLOOKUP(F15&amp;E15&amp;G15,Data!$AY$60:$BC$496,4,0),0)</f>
        <v>0</v>
      </c>
      <c r="I15" s="240"/>
      <c r="J15" s="15"/>
      <c r="K15" s="579">
        <v>0</v>
      </c>
      <c r="L15" s="36"/>
      <c r="M15" s="37"/>
      <c r="N15" s="36"/>
      <c r="O15" s="243">
        <f>+IF(N15&gt;0,VLOOKUP(M15&amp;L15&amp;N15,Data!$AY$60:$BC$496,4,0),0)</f>
        <v>0</v>
      </c>
      <c r="P15" s="36"/>
      <c r="Q15" s="36"/>
      <c r="R15" s="579">
        <v>0</v>
      </c>
      <c r="S15" s="15"/>
      <c r="T15" s="579">
        <v>0</v>
      </c>
      <c r="U15" s="28"/>
      <c r="V15" s="146"/>
      <c r="W15" s="45"/>
    </row>
    <row r="16" spans="1:33" x14ac:dyDescent="0.25">
      <c r="A16" s="236">
        <f>VLOOKUP(B16,Data!$AT$4:$AX$31,2,FALSE)</f>
        <v>0</v>
      </c>
      <c r="B16" s="36" t="s">
        <v>412</v>
      </c>
      <c r="C16" s="145"/>
      <c r="D16" s="358" t="str">
        <f>+VLOOKUP(B16,Data!$AR$60:$AS$109,2,0)</f>
        <v>-</v>
      </c>
      <c r="E16" s="36" t="s">
        <v>407</v>
      </c>
      <c r="F16" s="36" t="s">
        <v>412</v>
      </c>
      <c r="G16" s="36"/>
      <c r="H16" s="243">
        <f>+IF(G16&gt;0,VLOOKUP(F16&amp;E16&amp;G16,Data!$AY$60:$BC$496,4,0),0)</f>
        <v>0</v>
      </c>
      <c r="I16" s="240"/>
      <c r="J16" s="15"/>
      <c r="K16" s="579">
        <v>0</v>
      </c>
      <c r="L16" s="36"/>
      <c r="M16" s="37"/>
      <c r="N16" s="36"/>
      <c r="O16" s="243">
        <f>+IF(N16&gt;0,VLOOKUP(M16&amp;L16&amp;N16,Data!$AY$60:$BC$496,4,0),0)</f>
        <v>0</v>
      </c>
      <c r="P16" s="36"/>
      <c r="Q16" s="36"/>
      <c r="R16" s="579">
        <v>0</v>
      </c>
      <c r="S16" s="15"/>
      <c r="T16" s="579">
        <v>0</v>
      </c>
      <c r="U16" s="28"/>
      <c r="V16" s="146"/>
      <c r="W16" s="45"/>
    </row>
    <row r="17" spans="1:33" x14ac:dyDescent="0.25">
      <c r="A17" s="236">
        <f>VLOOKUP(B17,Data!$AT$4:$AX$31,2,FALSE)</f>
        <v>0</v>
      </c>
      <c r="B17" s="36" t="s">
        <v>412</v>
      </c>
      <c r="C17" s="145"/>
      <c r="D17" s="358" t="str">
        <f>+VLOOKUP(B17,Data!$AR$60:$AS$109,2,0)</f>
        <v>-</v>
      </c>
      <c r="E17" s="36" t="s">
        <v>407</v>
      </c>
      <c r="F17" s="36" t="s">
        <v>412</v>
      </c>
      <c r="G17" s="36"/>
      <c r="H17" s="243">
        <f>+IF(G17&gt;0,VLOOKUP(F17&amp;E17&amp;G17,Data!$AY$60:$BC$496,4,0),0)</f>
        <v>0</v>
      </c>
      <c r="I17" s="240"/>
      <c r="J17" s="15"/>
      <c r="K17" s="579">
        <v>0</v>
      </c>
      <c r="L17" s="36"/>
      <c r="M17" s="37"/>
      <c r="N17" s="36"/>
      <c r="O17" s="243">
        <f>+IF(N17&gt;0,VLOOKUP(M17&amp;L17&amp;N17,Data!$AY$60:$BC$496,4,0),0)</f>
        <v>0</v>
      </c>
      <c r="P17" s="36"/>
      <c r="Q17" s="36"/>
      <c r="R17" s="579">
        <v>0</v>
      </c>
      <c r="S17" s="15"/>
      <c r="T17" s="579">
        <v>0</v>
      </c>
      <c r="U17" s="28"/>
      <c r="V17" s="146"/>
      <c r="W17" s="47"/>
    </row>
    <row r="18" spans="1:33" x14ac:dyDescent="0.25">
      <c r="A18" s="236">
        <f>VLOOKUP(B18,Data!$AT$4:$AX$31,2,FALSE)</f>
        <v>0</v>
      </c>
      <c r="B18" s="36" t="s">
        <v>412</v>
      </c>
      <c r="C18" s="145"/>
      <c r="D18" s="358" t="str">
        <f>+VLOOKUP(B18,Data!$AR$60:$AS$109,2,0)</f>
        <v>-</v>
      </c>
      <c r="E18" s="36" t="s">
        <v>407</v>
      </c>
      <c r="F18" s="36" t="s">
        <v>412</v>
      </c>
      <c r="G18" s="36"/>
      <c r="H18" s="243">
        <f>+IF(G18&gt;0,VLOOKUP(F18&amp;E18&amp;G18,Data!$AY$60:$BC$496,4,0),0)</f>
        <v>0</v>
      </c>
      <c r="I18" s="240"/>
      <c r="J18" s="15"/>
      <c r="K18" s="579">
        <v>0</v>
      </c>
      <c r="L18" s="36"/>
      <c r="M18" s="37"/>
      <c r="N18" s="36"/>
      <c r="O18" s="243">
        <f>+IF(N18&gt;0,VLOOKUP(M18&amp;L18&amp;N18,Data!$AY$60:$BC$496,4,0),0)</f>
        <v>0</v>
      </c>
      <c r="P18" s="36"/>
      <c r="Q18" s="36"/>
      <c r="R18" s="579">
        <v>0</v>
      </c>
      <c r="S18" s="15"/>
      <c r="T18" s="579">
        <v>0</v>
      </c>
      <c r="U18" s="17"/>
      <c r="V18" s="145"/>
      <c r="W18" s="47"/>
    </row>
    <row r="19" spans="1:33" x14ac:dyDescent="0.25">
      <c r="A19" s="236">
        <f>VLOOKUP(B19,Data!$AT$4:$AX$31,2,FALSE)</f>
        <v>0</v>
      </c>
      <c r="B19" s="36" t="s">
        <v>412</v>
      </c>
      <c r="C19" s="145"/>
      <c r="D19" s="358" t="str">
        <f>+VLOOKUP(B19,Data!$AR$60:$AS$109,2,0)</f>
        <v>-</v>
      </c>
      <c r="E19" s="36" t="s">
        <v>407</v>
      </c>
      <c r="F19" s="36" t="s">
        <v>412</v>
      </c>
      <c r="G19" s="36"/>
      <c r="H19" s="243">
        <f>+IF(G19&gt;0,VLOOKUP(F19&amp;E19&amp;G19,Data!$AY$60:$BC$496,4,0),0)</f>
        <v>0</v>
      </c>
      <c r="I19" s="240"/>
      <c r="J19" s="15"/>
      <c r="K19" s="579">
        <v>0</v>
      </c>
      <c r="L19" s="36"/>
      <c r="M19" s="37"/>
      <c r="N19" s="36"/>
      <c r="O19" s="243">
        <f>+IF(N19&gt;0,VLOOKUP(M19&amp;L19&amp;N19,Data!$AY$60:$BC$496,4,0),0)</f>
        <v>0</v>
      </c>
      <c r="P19" s="36"/>
      <c r="Q19" s="36"/>
      <c r="R19" s="579">
        <v>0</v>
      </c>
      <c r="S19" s="15"/>
      <c r="T19" s="579">
        <v>0</v>
      </c>
      <c r="U19" s="17"/>
      <c r="V19" s="145"/>
      <c r="W19" s="47"/>
    </row>
    <row r="20" spans="1:33" x14ac:dyDescent="0.25">
      <c r="A20" s="236">
        <f>VLOOKUP(B20,Data!$AT$4:$AX$31,2,FALSE)</f>
        <v>0</v>
      </c>
      <c r="B20" s="36" t="s">
        <v>412</v>
      </c>
      <c r="C20" s="145"/>
      <c r="D20" s="358" t="str">
        <f>+VLOOKUP(B20,Data!$AR$60:$AS$109,2,0)</f>
        <v>-</v>
      </c>
      <c r="E20" s="36" t="s">
        <v>407</v>
      </c>
      <c r="F20" s="36" t="s">
        <v>412</v>
      </c>
      <c r="G20" s="36"/>
      <c r="H20" s="243">
        <f>+IF(G20&gt;0,VLOOKUP(F20&amp;E20&amp;G20,Data!$AY$60:$BC$496,4,0),0)</f>
        <v>0</v>
      </c>
      <c r="I20" s="240"/>
      <c r="J20" s="15"/>
      <c r="K20" s="579">
        <v>0</v>
      </c>
      <c r="L20" s="36"/>
      <c r="M20" s="37"/>
      <c r="N20" s="36"/>
      <c r="O20" s="243">
        <f>+IF(N20&gt;0,VLOOKUP(M20&amp;L20&amp;N20,Data!$AY$60:$BC$496,4,0),0)</f>
        <v>0</v>
      </c>
      <c r="P20" s="36"/>
      <c r="Q20" s="36"/>
      <c r="R20" s="579">
        <v>0</v>
      </c>
      <c r="S20" s="15"/>
      <c r="T20" s="579">
        <v>0</v>
      </c>
      <c r="U20" s="17"/>
      <c r="V20" s="145"/>
      <c r="W20" s="47"/>
    </row>
    <row r="21" spans="1:33" x14ac:dyDescent="0.25">
      <c r="A21" s="236">
        <f>VLOOKUP(B21,Data!$AT$4:$AX$31,2,FALSE)</f>
        <v>0</v>
      </c>
      <c r="B21" s="36" t="s">
        <v>412</v>
      </c>
      <c r="C21" s="145"/>
      <c r="D21" s="358" t="str">
        <f>+VLOOKUP(B21,Data!$AR$60:$AS$109,2,0)</f>
        <v>-</v>
      </c>
      <c r="E21" s="36" t="s">
        <v>407</v>
      </c>
      <c r="F21" s="36" t="s">
        <v>412</v>
      </c>
      <c r="G21" s="36"/>
      <c r="H21" s="243">
        <f>+IF(G21&gt;0,VLOOKUP(F21&amp;E21&amp;G21,Data!$AY$60:$BC$496,4,0),0)</f>
        <v>0</v>
      </c>
      <c r="I21" s="240"/>
      <c r="J21" s="15"/>
      <c r="K21" s="579">
        <v>0</v>
      </c>
      <c r="L21" s="36"/>
      <c r="M21" s="37"/>
      <c r="N21" s="36"/>
      <c r="O21" s="243">
        <f>+IF(N21&gt;0,VLOOKUP(M21&amp;L21&amp;N21,Data!$AY$60:$BC$496,4,0),0)</f>
        <v>0</v>
      </c>
      <c r="P21" s="36"/>
      <c r="Q21" s="36"/>
      <c r="R21" s="579">
        <v>0</v>
      </c>
      <c r="S21" s="15"/>
      <c r="T21" s="579">
        <v>0</v>
      </c>
      <c r="U21" s="17"/>
      <c r="V21" s="145"/>
      <c r="W21" s="47"/>
    </row>
    <row r="22" spans="1:33" x14ac:dyDescent="0.25">
      <c r="A22" s="236">
        <f>VLOOKUP(B22,Data!$AT$4:$AX$31,2,FALSE)</f>
        <v>0</v>
      </c>
      <c r="B22" s="36" t="s">
        <v>412</v>
      </c>
      <c r="C22" s="145"/>
      <c r="D22" s="358" t="str">
        <f>+VLOOKUP(B22,Data!$AR$60:$AS$109,2,0)</f>
        <v>-</v>
      </c>
      <c r="E22" s="36" t="s">
        <v>407</v>
      </c>
      <c r="F22" s="36" t="s">
        <v>412</v>
      </c>
      <c r="G22" s="36"/>
      <c r="H22" s="243">
        <f>+IF(G22&gt;0,VLOOKUP(F22&amp;E22&amp;G22,Data!$AY$60:$BC$496,4,0),0)</f>
        <v>0</v>
      </c>
      <c r="I22" s="240"/>
      <c r="J22" s="15"/>
      <c r="K22" s="579">
        <v>0</v>
      </c>
      <c r="L22" s="36"/>
      <c r="M22" s="37"/>
      <c r="N22" s="36"/>
      <c r="O22" s="243">
        <f>+IF(N22&gt;0,VLOOKUP(M22&amp;L22&amp;N22,Data!$AY$60:$BC$496,4,0),0)</f>
        <v>0</v>
      </c>
      <c r="P22" s="36"/>
      <c r="Q22" s="36"/>
      <c r="R22" s="579">
        <v>0</v>
      </c>
      <c r="S22" s="15"/>
      <c r="T22" s="579">
        <v>0</v>
      </c>
      <c r="U22" s="17"/>
      <c r="V22" s="145"/>
      <c r="W22" s="47"/>
    </row>
    <row r="23" spans="1:33" x14ac:dyDescent="0.25">
      <c r="A23" s="236">
        <f>VLOOKUP(B23,Data!$AT$4:$AX$31,2,FALSE)</f>
        <v>0</v>
      </c>
      <c r="B23" s="36" t="s">
        <v>412</v>
      </c>
      <c r="C23" s="145"/>
      <c r="D23" s="358" t="str">
        <f>+VLOOKUP(B23,Data!$AR$60:$AS$109,2,0)</f>
        <v>-</v>
      </c>
      <c r="E23" s="36" t="s">
        <v>407</v>
      </c>
      <c r="F23" s="36" t="s">
        <v>412</v>
      </c>
      <c r="G23" s="36"/>
      <c r="H23" s="243">
        <f>+IF(G23&gt;0,VLOOKUP(F23&amp;E23&amp;G23,Data!$AY$60:$BC$496,4,0),0)</f>
        <v>0</v>
      </c>
      <c r="I23" s="240"/>
      <c r="J23" s="15"/>
      <c r="K23" s="579">
        <v>0</v>
      </c>
      <c r="L23" s="36"/>
      <c r="M23" s="37"/>
      <c r="N23" s="36"/>
      <c r="O23" s="243">
        <f>+IF(N23&gt;0,VLOOKUP(M23&amp;L23&amp;N23,Data!$AY$60:$BC$496,4,0),0)</f>
        <v>0</v>
      </c>
      <c r="P23" s="36"/>
      <c r="Q23" s="36"/>
      <c r="R23" s="579">
        <v>0</v>
      </c>
      <c r="S23" s="15"/>
      <c r="T23" s="579">
        <v>0</v>
      </c>
      <c r="U23" s="17"/>
      <c r="V23" s="145"/>
      <c r="W23" s="47"/>
    </row>
    <row r="24" spans="1:33" x14ac:dyDescent="0.25">
      <c r="A24" s="236">
        <f>VLOOKUP(B24,Data!$AT$4:$AX$31,2,FALSE)</f>
        <v>0</v>
      </c>
      <c r="B24" s="36" t="s">
        <v>412</v>
      </c>
      <c r="C24" s="145"/>
      <c r="D24" s="358" t="str">
        <f>+VLOOKUP(B24,Data!$AR$60:$AS$109,2,0)</f>
        <v>-</v>
      </c>
      <c r="E24" s="36" t="s">
        <v>407</v>
      </c>
      <c r="F24" s="36" t="s">
        <v>412</v>
      </c>
      <c r="G24" s="36"/>
      <c r="H24" s="243">
        <f>+IF(G24&gt;0,VLOOKUP(F24&amp;E24&amp;G24,Data!$AY$60:$BC$496,4,0),0)</f>
        <v>0</v>
      </c>
      <c r="I24" s="240"/>
      <c r="J24" s="15"/>
      <c r="K24" s="579">
        <v>0</v>
      </c>
      <c r="L24" s="36"/>
      <c r="M24" s="37"/>
      <c r="N24" s="36"/>
      <c r="O24" s="243">
        <f>+IF(N24&gt;0,VLOOKUP(M24&amp;L24&amp;N24,Data!$AY$60:$BC$496,4,0),0)</f>
        <v>0</v>
      </c>
      <c r="P24" s="36"/>
      <c r="Q24" s="36"/>
      <c r="R24" s="579">
        <v>0</v>
      </c>
      <c r="S24" s="15"/>
      <c r="T24" s="579">
        <v>0</v>
      </c>
      <c r="U24" s="17"/>
      <c r="V24" s="145"/>
      <c r="W24" s="47"/>
    </row>
    <row r="25" spans="1:33" x14ac:dyDescent="0.25">
      <c r="A25" s="236">
        <f>VLOOKUP(B25,Data!$AT$4:$AX$31,2,FALSE)</f>
        <v>0</v>
      </c>
      <c r="B25" s="36" t="s">
        <v>412</v>
      </c>
      <c r="C25" s="145"/>
      <c r="D25" s="358" t="str">
        <f>+VLOOKUP(B25,Data!$AR$60:$AS$109,2,0)</f>
        <v>-</v>
      </c>
      <c r="E25" s="36" t="s">
        <v>407</v>
      </c>
      <c r="F25" s="36" t="s">
        <v>412</v>
      </c>
      <c r="G25" s="36"/>
      <c r="H25" s="243">
        <f>+IF(G25&gt;0,VLOOKUP(F25&amp;E25&amp;G25,Data!$AY$60:$BC$496,4,0),0)</f>
        <v>0</v>
      </c>
      <c r="I25" s="240"/>
      <c r="J25" s="15"/>
      <c r="K25" s="579">
        <v>0</v>
      </c>
      <c r="L25" s="36"/>
      <c r="M25" s="37"/>
      <c r="N25" s="36"/>
      <c r="O25" s="243">
        <f>+IF(N25&gt;0,VLOOKUP(M25&amp;L25&amp;N25,Data!$AY$60:$BC$496,4,0),0)</f>
        <v>0</v>
      </c>
      <c r="P25" s="36"/>
      <c r="Q25" s="36"/>
      <c r="R25" s="579">
        <v>0</v>
      </c>
      <c r="S25" s="15"/>
      <c r="T25" s="579">
        <v>0</v>
      </c>
      <c r="U25" s="17"/>
      <c r="V25" s="145"/>
      <c r="W25" s="47"/>
    </row>
    <row r="26" spans="1:33" x14ac:dyDescent="0.25">
      <c r="A26" s="236">
        <f>VLOOKUP(B26,Data!$AT$4:$AX$31,2,FALSE)</f>
        <v>0</v>
      </c>
      <c r="B26" s="36" t="s">
        <v>412</v>
      </c>
      <c r="C26" s="145"/>
      <c r="D26" s="358" t="str">
        <f>+VLOOKUP(B26,Data!$AR$60:$AS$109,2,0)</f>
        <v>-</v>
      </c>
      <c r="E26" s="36" t="s">
        <v>407</v>
      </c>
      <c r="F26" s="36" t="s">
        <v>412</v>
      </c>
      <c r="G26" s="36"/>
      <c r="H26" s="243">
        <f>+IF(G26&gt;0,VLOOKUP(F26&amp;E26&amp;G26,Data!$AY$60:$BC$496,4,0),0)</f>
        <v>0</v>
      </c>
      <c r="I26" s="240"/>
      <c r="J26" s="15"/>
      <c r="K26" s="579">
        <v>0</v>
      </c>
      <c r="L26" s="36"/>
      <c r="M26" s="37"/>
      <c r="N26" s="36"/>
      <c r="O26" s="243">
        <f>+IF(N26&gt;0,VLOOKUP(M26&amp;L26&amp;N26,Data!$AY$60:$BC$496,4,0),0)</f>
        <v>0</v>
      </c>
      <c r="P26" s="36"/>
      <c r="Q26" s="36"/>
      <c r="R26" s="579">
        <v>0</v>
      </c>
      <c r="S26" s="15"/>
      <c r="T26" s="579">
        <v>0</v>
      </c>
      <c r="U26" s="17"/>
      <c r="V26" s="145"/>
      <c r="W26" s="47"/>
    </row>
    <row r="27" spans="1:33" x14ac:dyDescent="0.25">
      <c r="A27" s="236">
        <f>VLOOKUP(B27,Data!$AT$4:$AX$31,2,FALSE)</f>
        <v>0</v>
      </c>
      <c r="B27" s="36" t="s">
        <v>412</v>
      </c>
      <c r="C27" s="145"/>
      <c r="D27" s="358" t="str">
        <f>+VLOOKUP(B27,Data!$AR$60:$AS$109,2,0)</f>
        <v>-</v>
      </c>
      <c r="E27" s="36" t="s">
        <v>407</v>
      </c>
      <c r="F27" s="36" t="s">
        <v>412</v>
      </c>
      <c r="G27" s="36"/>
      <c r="H27" s="243">
        <f>+IF(G27&gt;0,VLOOKUP(F27&amp;E27&amp;G27,Data!$AY$60:$BC$496,4,0),0)</f>
        <v>0</v>
      </c>
      <c r="I27" s="240"/>
      <c r="J27" s="15"/>
      <c r="K27" s="579">
        <v>0</v>
      </c>
      <c r="L27" s="36"/>
      <c r="M27" s="37"/>
      <c r="N27" s="36"/>
      <c r="O27" s="243">
        <f>+IF(N27&gt;0,VLOOKUP(M27&amp;L27&amp;N27,Data!$AY$60:$BC$496,4,0),0)</f>
        <v>0</v>
      </c>
      <c r="P27" s="36"/>
      <c r="Q27" s="36"/>
      <c r="R27" s="579">
        <v>0</v>
      </c>
      <c r="S27" s="15"/>
      <c r="T27" s="579">
        <v>0</v>
      </c>
      <c r="U27" s="17"/>
      <c r="V27" s="145"/>
      <c r="W27" s="47"/>
    </row>
    <row r="28" spans="1:33" x14ac:dyDescent="0.25">
      <c r="A28" s="236">
        <f>VLOOKUP(B28,Data!$AT$4:$AX$31,2,FALSE)</f>
        <v>0</v>
      </c>
      <c r="B28" s="36" t="s">
        <v>412</v>
      </c>
      <c r="C28" s="145"/>
      <c r="D28" s="358" t="str">
        <f>+VLOOKUP(B28,Data!$AR$60:$AS$109,2,0)</f>
        <v>-</v>
      </c>
      <c r="E28" s="36" t="s">
        <v>407</v>
      </c>
      <c r="F28" s="36" t="s">
        <v>412</v>
      </c>
      <c r="G28" s="36"/>
      <c r="H28" s="243">
        <f>+IF(G28&gt;0,VLOOKUP(F28&amp;E28&amp;G28,Data!$AY$60:$BC$496,4,0),0)</f>
        <v>0</v>
      </c>
      <c r="I28" s="240"/>
      <c r="J28" s="15"/>
      <c r="K28" s="579">
        <v>0</v>
      </c>
      <c r="L28" s="36"/>
      <c r="M28" s="37"/>
      <c r="N28" s="36"/>
      <c r="O28" s="243">
        <f>+IF(N28&gt;0,VLOOKUP(M28&amp;L28&amp;N28,Data!$AY$60:$BC$496,4,0),0)</f>
        <v>0</v>
      </c>
      <c r="P28" s="36"/>
      <c r="Q28" s="36"/>
      <c r="R28" s="579">
        <v>0</v>
      </c>
      <c r="S28" s="15"/>
      <c r="T28" s="579">
        <v>0</v>
      </c>
      <c r="U28" s="17"/>
      <c r="V28" s="145"/>
      <c r="W28" s="47"/>
    </row>
    <row r="29" spans="1:33" x14ac:dyDescent="0.25">
      <c r="A29" s="145"/>
      <c r="B29" s="145"/>
      <c r="C29" s="145"/>
      <c r="D29" s="358"/>
      <c r="E29" s="36" t="s">
        <v>407</v>
      </c>
      <c r="F29" s="36" t="s">
        <v>412</v>
      </c>
      <c r="G29" s="36"/>
      <c r="H29" s="243">
        <f>+IF(G29&gt;0,VLOOKUP(F29&amp;E29&amp;G29,Data!$AY$60:$BC$496,4,0),0)</f>
        <v>0</v>
      </c>
      <c r="I29" s="240"/>
      <c r="J29" s="15"/>
      <c r="K29" s="579">
        <v>0</v>
      </c>
      <c r="L29" s="36"/>
      <c r="M29" s="37"/>
      <c r="N29" s="36"/>
      <c r="O29" s="243">
        <f>+IF(N29&gt;0,VLOOKUP(M29&amp;L29&amp;N29,Data!$AY$60:$BC$496,4,0),0)</f>
        <v>0</v>
      </c>
      <c r="P29" s="36"/>
      <c r="Q29" s="36"/>
      <c r="R29" s="579">
        <v>0</v>
      </c>
      <c r="S29" s="15"/>
      <c r="T29" s="579">
        <v>0</v>
      </c>
      <c r="U29" s="17"/>
      <c r="V29" s="145"/>
      <c r="W29" s="47"/>
    </row>
    <row r="30" spans="1:33" ht="15.75" thickBot="1" x14ac:dyDescent="0.3">
      <c r="A30" s="145"/>
      <c r="B30" s="145"/>
      <c r="C30" s="145"/>
      <c r="D30" s="358"/>
      <c r="E30" s="36" t="s">
        <v>407</v>
      </c>
      <c r="F30" s="36" t="s">
        <v>412</v>
      </c>
      <c r="G30" s="36"/>
      <c r="H30" s="243">
        <f>+IF(G30&gt;0,VLOOKUP(F30&amp;E30&amp;G30,Data!$AY$60:$BC$496,4,0),0)</f>
        <v>0</v>
      </c>
      <c r="I30" s="240"/>
      <c r="J30" s="15"/>
      <c r="K30" s="579">
        <v>0</v>
      </c>
      <c r="L30" s="36"/>
      <c r="M30" s="37"/>
      <c r="N30" s="36"/>
      <c r="O30" s="243">
        <f>+IF(N30&gt;0,VLOOKUP(M30&amp;L30&amp;N30,Data!$AY$60:$BC$496,4,0),0)</f>
        <v>0</v>
      </c>
      <c r="P30" s="36"/>
      <c r="Q30" s="36"/>
      <c r="R30" s="579">
        <v>0</v>
      </c>
      <c r="S30" s="15"/>
      <c r="T30" s="579">
        <v>0</v>
      </c>
      <c r="U30" s="17"/>
      <c r="V30" s="145"/>
      <c r="W30" s="47"/>
    </row>
    <row r="31" spans="1:33" s="89" customFormat="1" ht="21.75" thickBot="1" x14ac:dyDescent="0.4">
      <c r="A31" s="86" t="str">
        <f>IF(Schip!$I$8&gt;1,"40 Mast","")</f>
        <v>40 Mast</v>
      </c>
      <c r="B31" s="239"/>
      <c r="C31" s="87"/>
      <c r="D31" s="87"/>
      <c r="E31" s="239"/>
      <c r="F31" s="87"/>
      <c r="G31" s="87"/>
      <c r="H31" s="87"/>
      <c r="I31" s="87"/>
      <c r="J31" s="87"/>
      <c r="K31" s="87"/>
      <c r="L31" s="239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239"/>
      <c r="X31" s="239"/>
      <c r="Y31" s="239"/>
      <c r="AG31" s="90"/>
    </row>
    <row r="32" spans="1:33" x14ac:dyDescent="0.25">
      <c r="A32" s="236">
        <f>VLOOKUP(B32,Data!$AT$4:$AX$31,3,FALSE)</f>
        <v>0</v>
      </c>
      <c r="B32" s="36" t="s">
        <v>412</v>
      </c>
      <c r="C32" s="145"/>
      <c r="D32" s="358" t="str">
        <f>+VLOOKUP(B32,Data!$AR$60:$AS$109,2,0)</f>
        <v>-</v>
      </c>
      <c r="E32" s="36" t="s">
        <v>407</v>
      </c>
      <c r="F32" s="36" t="s">
        <v>412</v>
      </c>
      <c r="G32" s="36"/>
      <c r="H32" s="243">
        <f>+IF(G32&gt;0,VLOOKUP(F32&amp;E32&amp;G32,Data!$AY$60:$BC$496,4,0),0)</f>
        <v>0</v>
      </c>
      <c r="I32" s="240"/>
      <c r="J32" s="15"/>
      <c r="K32" s="579">
        <v>0</v>
      </c>
      <c r="L32" s="36"/>
      <c r="M32" s="37"/>
      <c r="N32" s="36"/>
      <c r="O32" s="243">
        <f>+IF(N32&gt;0,VLOOKUP(M32&amp;L32&amp;N32,Data!$AY$60:$BC$496,4,0),0)</f>
        <v>0</v>
      </c>
      <c r="P32" s="36"/>
      <c r="Q32" s="36"/>
      <c r="R32" s="579">
        <v>0</v>
      </c>
      <c r="S32" s="15"/>
      <c r="T32" s="579">
        <v>0</v>
      </c>
      <c r="U32" s="17"/>
      <c r="V32" s="145"/>
      <c r="W32" s="47"/>
    </row>
    <row r="33" spans="1:33" x14ac:dyDescent="0.25">
      <c r="A33" s="236">
        <f>VLOOKUP(B33,Data!$AT$4:$AX$31,3,FALSE)</f>
        <v>0</v>
      </c>
      <c r="B33" s="36" t="s">
        <v>412</v>
      </c>
      <c r="C33" s="145"/>
      <c r="D33" s="358" t="str">
        <f>+VLOOKUP(B33,Data!$AR$60:$AS$109,2,0)</f>
        <v>-</v>
      </c>
      <c r="E33" s="36" t="s">
        <v>407</v>
      </c>
      <c r="F33" s="36" t="s">
        <v>412</v>
      </c>
      <c r="G33" s="36"/>
      <c r="H33" s="243">
        <f>+IF(G33&gt;0,VLOOKUP(F33&amp;E33&amp;G33,Data!$AY$60:$BC$496,4,0),0)</f>
        <v>0</v>
      </c>
      <c r="I33" s="240"/>
      <c r="J33" s="15"/>
      <c r="K33" s="579">
        <v>0</v>
      </c>
      <c r="L33" s="36"/>
      <c r="M33" s="37"/>
      <c r="N33" s="36"/>
      <c r="O33" s="243">
        <f>+IF(N33&gt;0,VLOOKUP(M33&amp;L33&amp;N33,Data!$AY$60:$BC$496,4,0),0)</f>
        <v>0</v>
      </c>
      <c r="P33" s="36"/>
      <c r="Q33" s="36"/>
      <c r="R33" s="579">
        <v>0</v>
      </c>
      <c r="S33" s="15"/>
      <c r="T33" s="579">
        <v>0</v>
      </c>
      <c r="U33" s="17"/>
      <c r="V33" s="145"/>
      <c r="W33" s="47"/>
    </row>
    <row r="34" spans="1:33" x14ac:dyDescent="0.25">
      <c r="A34" s="236">
        <f>VLOOKUP(B34,Data!$AT$4:$AX$31,3,FALSE)</f>
        <v>0</v>
      </c>
      <c r="B34" s="36" t="s">
        <v>412</v>
      </c>
      <c r="C34" s="145"/>
      <c r="D34" s="358" t="str">
        <f>+VLOOKUP(B34,Data!$AR$60:$AS$109,2,0)</f>
        <v>-</v>
      </c>
      <c r="E34" s="36" t="s">
        <v>407</v>
      </c>
      <c r="F34" s="36" t="s">
        <v>412</v>
      </c>
      <c r="G34" s="36"/>
      <c r="H34" s="243">
        <f>+IF(G34&gt;0,VLOOKUP(F34&amp;E34&amp;G34,Data!$AY$60:$BC$496,4,0),0)</f>
        <v>0</v>
      </c>
      <c r="I34" s="240"/>
      <c r="J34" s="15"/>
      <c r="K34" s="579">
        <v>0</v>
      </c>
      <c r="L34" s="36"/>
      <c r="M34" s="37"/>
      <c r="N34" s="36"/>
      <c r="O34" s="243">
        <f>+IF(N34&gt;0,VLOOKUP(M34&amp;L34&amp;N34,Data!$AY$60:$BC$496,4,0),0)</f>
        <v>0</v>
      </c>
      <c r="P34" s="36"/>
      <c r="Q34" s="36"/>
      <c r="R34" s="579">
        <v>0</v>
      </c>
      <c r="S34" s="15"/>
      <c r="T34" s="579">
        <v>0</v>
      </c>
      <c r="U34" s="17"/>
      <c r="V34" s="145"/>
      <c r="W34" s="47"/>
    </row>
    <row r="35" spans="1:33" x14ac:dyDescent="0.25">
      <c r="A35" s="236">
        <f>VLOOKUP(B35,Data!$AT$4:$AX$31,3,FALSE)</f>
        <v>0</v>
      </c>
      <c r="B35" s="36" t="s">
        <v>412</v>
      </c>
      <c r="C35" s="145"/>
      <c r="D35" s="358" t="str">
        <f>+VLOOKUP(B35,Data!$AR$60:$AS$109,2,0)</f>
        <v>-</v>
      </c>
      <c r="E35" s="36" t="s">
        <v>407</v>
      </c>
      <c r="F35" s="36" t="s">
        <v>412</v>
      </c>
      <c r="G35" s="36"/>
      <c r="H35" s="243">
        <f>+IF(G35&gt;0,VLOOKUP(F35&amp;E35&amp;G35,Data!$AY$60:$BC$496,4,0),0)</f>
        <v>0</v>
      </c>
      <c r="I35" s="240"/>
      <c r="J35" s="15"/>
      <c r="K35" s="579">
        <v>0</v>
      </c>
      <c r="L35" s="36"/>
      <c r="M35" s="37"/>
      <c r="N35" s="36"/>
      <c r="O35" s="243">
        <f>+IF(N35&gt;0,VLOOKUP(M35&amp;L35&amp;N35,Data!$AY$60:$BC$496,4,0),0)</f>
        <v>0</v>
      </c>
      <c r="P35" s="36"/>
      <c r="Q35" s="36"/>
      <c r="R35" s="579">
        <v>0</v>
      </c>
      <c r="S35" s="15"/>
      <c r="T35" s="579">
        <v>0</v>
      </c>
      <c r="U35" s="17"/>
      <c r="V35" s="145"/>
      <c r="W35" s="47"/>
    </row>
    <row r="36" spans="1:33" x14ac:dyDescent="0.25">
      <c r="A36" s="236">
        <f>VLOOKUP(B36,Data!$AT$4:$AX$31,3,FALSE)</f>
        <v>0</v>
      </c>
      <c r="B36" s="36" t="s">
        <v>412</v>
      </c>
      <c r="C36" s="145"/>
      <c r="D36" s="358" t="str">
        <f>+VLOOKUP(B36,Data!$AR$60:$AS$109,2,0)</f>
        <v>-</v>
      </c>
      <c r="E36" s="36" t="s">
        <v>407</v>
      </c>
      <c r="F36" s="36" t="s">
        <v>412</v>
      </c>
      <c r="G36" s="36"/>
      <c r="H36" s="243">
        <f>+IF(G36&gt;0,VLOOKUP(F36&amp;E36&amp;G36,Data!$AY$60:$BC$496,4,0),0)</f>
        <v>0</v>
      </c>
      <c r="I36" s="240"/>
      <c r="J36" s="15"/>
      <c r="K36" s="579">
        <v>0</v>
      </c>
      <c r="L36" s="36"/>
      <c r="M36" s="37"/>
      <c r="N36" s="36"/>
      <c r="O36" s="243">
        <f>+IF(N36&gt;0,VLOOKUP(M36&amp;L36&amp;N36,Data!$AY$60:$BC$496,4,0),0)</f>
        <v>0</v>
      </c>
      <c r="P36" s="36"/>
      <c r="Q36" s="36"/>
      <c r="R36" s="579">
        <v>0</v>
      </c>
      <c r="S36" s="15"/>
      <c r="T36" s="579">
        <v>0</v>
      </c>
      <c r="U36" s="17"/>
      <c r="V36" s="17"/>
      <c r="W36" s="47"/>
    </row>
    <row r="37" spans="1:33" x14ac:dyDescent="0.25">
      <c r="A37" s="236">
        <f>VLOOKUP(B37,Data!$AT$4:$AX$31,3,FALSE)</f>
        <v>0</v>
      </c>
      <c r="B37" s="36" t="s">
        <v>412</v>
      </c>
      <c r="C37" s="145"/>
      <c r="D37" s="358" t="str">
        <f>+VLOOKUP(B37,Data!$AR$60:$AS$109,2,0)</f>
        <v>-</v>
      </c>
      <c r="E37" s="36" t="s">
        <v>407</v>
      </c>
      <c r="F37" s="36" t="s">
        <v>412</v>
      </c>
      <c r="G37" s="36"/>
      <c r="H37" s="243">
        <f>+IF(G37&gt;0,VLOOKUP(F37&amp;E37&amp;G37,Data!$AY$60:$BC$496,4,0),0)</f>
        <v>0</v>
      </c>
      <c r="I37" s="240"/>
      <c r="J37" s="15"/>
      <c r="K37" s="579">
        <v>0</v>
      </c>
      <c r="L37" s="36"/>
      <c r="M37" s="37"/>
      <c r="N37" s="36"/>
      <c r="O37" s="243">
        <f>+IF(N37&gt;0,VLOOKUP(M37&amp;L37&amp;N37,Data!$AY$60:$BC$496,4,0),0)</f>
        <v>0</v>
      </c>
      <c r="P37" s="36"/>
      <c r="Q37" s="36"/>
      <c r="R37" s="579">
        <v>0</v>
      </c>
      <c r="S37" s="15"/>
      <c r="T37" s="579">
        <v>0</v>
      </c>
      <c r="U37" s="17"/>
      <c r="V37" s="17"/>
      <c r="W37" s="47"/>
    </row>
    <row r="38" spans="1:33" x14ac:dyDescent="0.25">
      <c r="A38" s="236">
        <f>VLOOKUP(B38,Data!$AT$4:$AX$31,3,FALSE)</f>
        <v>0</v>
      </c>
      <c r="B38" s="36" t="s">
        <v>412</v>
      </c>
      <c r="C38" s="145"/>
      <c r="D38" s="358" t="str">
        <f>+VLOOKUP(B38,Data!$AR$60:$AS$109,2,0)</f>
        <v>-</v>
      </c>
      <c r="E38" s="36" t="s">
        <v>407</v>
      </c>
      <c r="F38" s="36" t="s">
        <v>412</v>
      </c>
      <c r="G38" s="36"/>
      <c r="H38" s="243">
        <f>+IF(G38&gt;0,VLOOKUP(F38&amp;E38&amp;G38,Data!$AY$60:$BC$496,4,0),0)</f>
        <v>0</v>
      </c>
      <c r="I38" s="240"/>
      <c r="J38" s="15"/>
      <c r="K38" s="579">
        <v>0</v>
      </c>
      <c r="L38" s="36"/>
      <c r="M38" s="37"/>
      <c r="N38" s="36"/>
      <c r="O38" s="243">
        <f>+IF(N38&gt;0,VLOOKUP(M38&amp;L38&amp;N38,Data!$AY$60:$BC$496,4,0),0)</f>
        <v>0</v>
      </c>
      <c r="P38" s="36"/>
      <c r="Q38" s="36"/>
      <c r="R38" s="579">
        <v>0</v>
      </c>
      <c r="S38" s="15"/>
      <c r="T38" s="579">
        <v>0</v>
      </c>
      <c r="U38" s="17"/>
      <c r="V38" s="17"/>
      <c r="W38" s="47"/>
    </row>
    <row r="39" spans="1:33" x14ac:dyDescent="0.25">
      <c r="A39" s="236">
        <f>VLOOKUP(B39,Data!$AT$4:$AX$31,3,FALSE)</f>
        <v>0</v>
      </c>
      <c r="B39" s="36" t="s">
        <v>412</v>
      </c>
      <c r="C39" s="145"/>
      <c r="D39" s="358" t="str">
        <f>+VLOOKUP(B39,Data!$AR$60:$AS$109,2,0)</f>
        <v>-</v>
      </c>
      <c r="E39" s="36" t="s">
        <v>407</v>
      </c>
      <c r="F39" s="36" t="s">
        <v>412</v>
      </c>
      <c r="G39" s="36"/>
      <c r="H39" s="243">
        <f>+IF(G39&gt;0,VLOOKUP(F39&amp;E39&amp;G39,Data!$AY$60:$BC$496,4,0),0)</f>
        <v>0</v>
      </c>
      <c r="I39" s="240"/>
      <c r="J39" s="15"/>
      <c r="K39" s="579">
        <v>0</v>
      </c>
      <c r="L39" s="36"/>
      <c r="M39" s="37"/>
      <c r="N39" s="36"/>
      <c r="O39" s="243">
        <f>+IF(N39&gt;0,VLOOKUP(M39&amp;L39&amp;N39,Data!$AY$60:$BC$496,4,0),0)</f>
        <v>0</v>
      </c>
      <c r="P39" s="36"/>
      <c r="Q39" s="36"/>
      <c r="R39" s="579">
        <v>0</v>
      </c>
      <c r="S39" s="15"/>
      <c r="T39" s="579">
        <v>0</v>
      </c>
      <c r="U39" s="17"/>
      <c r="V39" s="17"/>
      <c r="W39" s="47"/>
    </row>
    <row r="40" spans="1:33" x14ac:dyDescent="0.25">
      <c r="A40" s="236">
        <f>VLOOKUP(B40,Data!$AT$4:$AX$31,3,FALSE)</f>
        <v>0</v>
      </c>
      <c r="B40" s="36" t="s">
        <v>412</v>
      </c>
      <c r="C40" s="145"/>
      <c r="D40" s="358" t="str">
        <f>+VLOOKUP(B40,Data!$AR$60:$AS$109,2,0)</f>
        <v>-</v>
      </c>
      <c r="E40" s="36" t="s">
        <v>407</v>
      </c>
      <c r="F40" s="36" t="s">
        <v>412</v>
      </c>
      <c r="G40" s="36"/>
      <c r="H40" s="243">
        <f>+IF(G40&gt;0,VLOOKUP(F40&amp;E40&amp;G40,Data!$AY$60:$BC$496,4,0),0)</f>
        <v>0</v>
      </c>
      <c r="I40" s="240"/>
      <c r="J40" s="15"/>
      <c r="K40" s="579">
        <v>0</v>
      </c>
      <c r="L40" s="36"/>
      <c r="M40" s="37"/>
      <c r="N40" s="36"/>
      <c r="O40" s="243">
        <f>+IF(N40&gt;0,VLOOKUP(M40&amp;L40&amp;N40,Data!$AY$60:$BC$496,4,0),0)</f>
        <v>0</v>
      </c>
      <c r="P40" s="36"/>
      <c r="Q40" s="36"/>
      <c r="R40" s="579">
        <v>0</v>
      </c>
      <c r="S40" s="15"/>
      <c r="T40" s="579">
        <v>0</v>
      </c>
      <c r="U40" s="17"/>
      <c r="V40" s="17"/>
      <c r="W40" s="47"/>
    </row>
    <row r="41" spans="1:33" x14ac:dyDescent="0.25">
      <c r="A41" s="236">
        <f>VLOOKUP(B41,Data!$AT$4:$AX$31,3,FALSE)</f>
        <v>0</v>
      </c>
      <c r="B41" s="36" t="s">
        <v>412</v>
      </c>
      <c r="C41" s="145"/>
      <c r="D41" s="358" t="str">
        <f>+VLOOKUP(B41,Data!$AR$60:$AS$109,2,0)</f>
        <v>-</v>
      </c>
      <c r="E41" s="36" t="s">
        <v>407</v>
      </c>
      <c r="F41" s="36" t="s">
        <v>412</v>
      </c>
      <c r="G41" s="36"/>
      <c r="H41" s="243">
        <f>+IF(G41&gt;0,VLOOKUP(F41&amp;E41&amp;G41,Data!$AY$60:$BC$496,4,0),0)</f>
        <v>0</v>
      </c>
      <c r="I41" s="240"/>
      <c r="J41" s="15"/>
      <c r="K41" s="579">
        <v>0</v>
      </c>
      <c r="L41" s="36"/>
      <c r="M41" s="37"/>
      <c r="N41" s="36"/>
      <c r="O41" s="243">
        <f>+IF(N41&gt;0,VLOOKUP(M41&amp;L41&amp;N41,Data!$AY$60:$BC$496,4,0),0)</f>
        <v>0</v>
      </c>
      <c r="P41" s="36"/>
      <c r="Q41" s="36"/>
      <c r="R41" s="579">
        <v>0</v>
      </c>
      <c r="S41" s="15"/>
      <c r="T41" s="579">
        <v>0</v>
      </c>
      <c r="U41" s="17"/>
      <c r="V41" s="17"/>
      <c r="W41" s="47"/>
    </row>
    <row r="42" spans="1:33" x14ac:dyDescent="0.25">
      <c r="A42" s="145"/>
      <c r="B42" s="145"/>
      <c r="C42" s="145"/>
      <c r="D42" s="358"/>
      <c r="E42" s="36" t="s">
        <v>407</v>
      </c>
      <c r="F42" s="36" t="s">
        <v>412</v>
      </c>
      <c r="G42" s="36"/>
      <c r="H42" s="243">
        <f>+IF(G42&gt;0,VLOOKUP(F42&amp;E42&amp;G42,Data!$AY$60:$BC$496,4,0),0)</f>
        <v>0</v>
      </c>
      <c r="I42" s="240"/>
      <c r="J42" s="15"/>
      <c r="K42" s="579">
        <v>0</v>
      </c>
      <c r="L42" s="36"/>
      <c r="M42" s="37"/>
      <c r="N42" s="36"/>
      <c r="O42" s="243">
        <f>+IF(N42&gt;0,VLOOKUP(M42&amp;L42&amp;N42,Data!$AY$60:$BC$496,4,0),0)</f>
        <v>0</v>
      </c>
      <c r="P42" s="36"/>
      <c r="Q42" s="36"/>
      <c r="R42" s="579">
        <v>0</v>
      </c>
      <c r="S42" s="15"/>
      <c r="T42" s="579">
        <v>0</v>
      </c>
      <c r="U42" s="17"/>
      <c r="V42" s="17"/>
      <c r="W42" s="47"/>
    </row>
    <row r="43" spans="1:33" ht="15.75" thickBot="1" x14ac:dyDescent="0.3">
      <c r="A43" s="145"/>
      <c r="B43" s="145"/>
      <c r="C43" s="145"/>
      <c r="D43" s="358"/>
      <c r="E43" s="36" t="s">
        <v>407</v>
      </c>
      <c r="F43" s="36" t="s">
        <v>412</v>
      </c>
      <c r="G43" s="36"/>
      <c r="H43" s="243">
        <f>+IF(G43&gt;0,VLOOKUP(F43&amp;E43&amp;G43,Data!$AY$60:$BC$496,4,0),0)</f>
        <v>0</v>
      </c>
      <c r="I43" s="240"/>
      <c r="J43" s="15"/>
      <c r="K43" s="579">
        <v>0</v>
      </c>
      <c r="L43" s="36"/>
      <c r="M43" s="37"/>
      <c r="N43" s="36"/>
      <c r="O43" s="243">
        <f>+IF(N43&gt;0,VLOOKUP(M43&amp;L43&amp;N43,Data!$AY$60:$BC$496,4,0),0)</f>
        <v>0</v>
      </c>
      <c r="P43" s="36"/>
      <c r="Q43" s="36"/>
      <c r="R43" s="579">
        <v>0</v>
      </c>
      <c r="S43" s="15"/>
      <c r="T43" s="579">
        <v>0</v>
      </c>
      <c r="U43" s="17"/>
      <c r="V43" s="17"/>
      <c r="W43" s="47"/>
    </row>
    <row r="44" spans="1:33" s="89" customFormat="1" ht="21.75" thickBot="1" x14ac:dyDescent="0.4">
      <c r="A44" s="86" t="str">
        <f>IF(Schip!$I$8&gt;2,"60 Mast","")</f>
        <v>60 Mast</v>
      </c>
      <c r="B44" s="239"/>
      <c r="C44" s="87"/>
      <c r="D44" s="87"/>
      <c r="E44" s="239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239"/>
      <c r="X44" s="239"/>
      <c r="Y44" s="239"/>
      <c r="AG44" s="90"/>
    </row>
    <row r="45" spans="1:33" x14ac:dyDescent="0.25">
      <c r="A45" s="236">
        <f>VLOOKUP(B45,Data!$AT$4:$AX$31,4,FALSE)</f>
        <v>0</v>
      </c>
      <c r="B45" s="36" t="s">
        <v>412</v>
      </c>
      <c r="C45" s="145"/>
      <c r="D45" s="358" t="str">
        <f>+VLOOKUP(B45,Data!$AR$60:$AS$109,2,0)</f>
        <v>-</v>
      </c>
      <c r="E45" s="36" t="s">
        <v>407</v>
      </c>
      <c r="F45" s="36" t="s">
        <v>412</v>
      </c>
      <c r="G45" s="36"/>
      <c r="H45" s="243">
        <f>+IF(G45&gt;0,VLOOKUP(F45&amp;E45&amp;G45,Data!$AY$60:$BC$496,4,0),0)</f>
        <v>0</v>
      </c>
      <c r="I45" s="240"/>
      <c r="J45" s="15"/>
      <c r="K45" s="579">
        <v>0</v>
      </c>
      <c r="L45" s="36"/>
      <c r="M45" s="37"/>
      <c r="N45" s="36"/>
      <c r="O45" s="243">
        <f>+IF(N45&gt;0,VLOOKUP(M45&amp;L45&amp;N45,Data!$AY$60:$BC$496,4,0),0)</f>
        <v>0</v>
      </c>
      <c r="P45" s="36"/>
      <c r="Q45" s="36"/>
      <c r="R45" s="579">
        <v>0</v>
      </c>
      <c r="S45" s="15"/>
      <c r="T45" s="579">
        <v>0</v>
      </c>
      <c r="U45" s="17"/>
      <c r="V45" s="17"/>
      <c r="W45" s="47"/>
    </row>
    <row r="46" spans="1:33" x14ac:dyDescent="0.25">
      <c r="A46" s="236">
        <f>VLOOKUP(B46,Data!$AT$4:$AX$31,4,FALSE)</f>
        <v>0</v>
      </c>
      <c r="B46" s="36" t="s">
        <v>412</v>
      </c>
      <c r="C46" s="145"/>
      <c r="D46" s="358" t="str">
        <f>+VLOOKUP(B46,Data!$AR$60:$AS$109,2,0)</f>
        <v>-</v>
      </c>
      <c r="E46" s="36" t="s">
        <v>407</v>
      </c>
      <c r="F46" s="36" t="s">
        <v>412</v>
      </c>
      <c r="G46" s="36"/>
      <c r="H46" s="243">
        <f>+IF(G46&gt;0,VLOOKUP(F46&amp;E46&amp;G46,Data!$AY$60:$BC$496,4,0),0)</f>
        <v>0</v>
      </c>
      <c r="I46" s="240"/>
      <c r="J46" s="15"/>
      <c r="K46" s="579">
        <v>0</v>
      </c>
      <c r="L46" s="36"/>
      <c r="M46" s="37"/>
      <c r="N46" s="36"/>
      <c r="O46" s="243">
        <f>+IF(N46&gt;0,VLOOKUP(M46&amp;L46&amp;N46,Data!$AY$60:$BC$496,4,0),0)</f>
        <v>0</v>
      </c>
      <c r="P46" s="36"/>
      <c r="Q46" s="36"/>
      <c r="R46" s="579">
        <v>0</v>
      </c>
      <c r="S46" s="15"/>
      <c r="T46" s="579">
        <v>0</v>
      </c>
      <c r="U46" s="17"/>
      <c r="V46" s="17"/>
      <c r="W46" s="47"/>
    </row>
    <row r="47" spans="1:33" x14ac:dyDescent="0.25">
      <c r="A47" s="236">
        <f>VLOOKUP(B47,Data!$AT$4:$AX$31,4,FALSE)</f>
        <v>0</v>
      </c>
      <c r="B47" s="36" t="s">
        <v>412</v>
      </c>
      <c r="C47" s="145"/>
      <c r="D47" s="358" t="str">
        <f>+VLOOKUP(B47,Data!$AR$60:$AS$109,2,0)</f>
        <v>-</v>
      </c>
      <c r="E47" s="36" t="s">
        <v>407</v>
      </c>
      <c r="F47" s="36" t="s">
        <v>412</v>
      </c>
      <c r="G47" s="36"/>
      <c r="H47" s="243">
        <f>+IF(G47&gt;0,VLOOKUP(F47&amp;E47&amp;G47,Data!$AY$60:$BC$496,4,0),0)</f>
        <v>0</v>
      </c>
      <c r="I47" s="240"/>
      <c r="J47" s="15"/>
      <c r="K47" s="579">
        <v>0</v>
      </c>
      <c r="L47" s="36"/>
      <c r="M47" s="37"/>
      <c r="N47" s="36"/>
      <c r="O47" s="243">
        <f>+IF(N47&gt;0,VLOOKUP(M47&amp;L47&amp;N47,Data!$AY$60:$BC$496,4,0),0)</f>
        <v>0</v>
      </c>
      <c r="P47" s="36"/>
      <c r="Q47" s="36"/>
      <c r="R47" s="579">
        <v>0</v>
      </c>
      <c r="S47" s="15"/>
      <c r="T47" s="579">
        <v>0</v>
      </c>
      <c r="U47" s="17"/>
      <c r="V47" s="17"/>
      <c r="W47" s="47"/>
    </row>
    <row r="48" spans="1:33" x14ac:dyDescent="0.25">
      <c r="A48" s="236">
        <f>VLOOKUP(B48,Data!$AT$4:$AX$31,4,FALSE)</f>
        <v>0</v>
      </c>
      <c r="B48" s="36" t="s">
        <v>412</v>
      </c>
      <c r="C48" s="145"/>
      <c r="D48" s="358" t="str">
        <f>+VLOOKUP(B48,Data!$AR$60:$AS$109,2,0)</f>
        <v>-</v>
      </c>
      <c r="E48" s="36" t="s">
        <v>407</v>
      </c>
      <c r="F48" s="36" t="s">
        <v>412</v>
      </c>
      <c r="G48" s="36"/>
      <c r="H48" s="243">
        <f>+IF(G48&gt;0,VLOOKUP(F48&amp;E48&amp;G48,Data!$AY$60:$BC$496,4,0),0)</f>
        <v>0</v>
      </c>
      <c r="I48" s="240"/>
      <c r="J48" s="15"/>
      <c r="K48" s="579">
        <v>0</v>
      </c>
      <c r="L48" s="36"/>
      <c r="M48" s="37"/>
      <c r="N48" s="36"/>
      <c r="O48" s="243">
        <f>+IF(N48&gt;0,VLOOKUP(M48&amp;L48&amp;N48,Data!$AY$60:$BC$496,4,0),0)</f>
        <v>0</v>
      </c>
      <c r="P48" s="36"/>
      <c r="Q48" s="36"/>
      <c r="R48" s="579">
        <v>0</v>
      </c>
      <c r="S48" s="15"/>
      <c r="T48" s="579">
        <v>0</v>
      </c>
      <c r="U48" s="17"/>
      <c r="V48" s="17"/>
      <c r="W48" s="47"/>
    </row>
    <row r="49" spans="1:33" x14ac:dyDescent="0.25">
      <c r="A49" s="236">
        <f>VLOOKUP(B49,Data!$AT$4:$AX$31,4,FALSE)</f>
        <v>0</v>
      </c>
      <c r="B49" s="36" t="s">
        <v>412</v>
      </c>
      <c r="C49" s="145"/>
      <c r="D49" s="358" t="str">
        <f>+VLOOKUP(B49,Data!$AR$60:$AS$109,2,0)</f>
        <v>-</v>
      </c>
      <c r="E49" s="36" t="s">
        <v>407</v>
      </c>
      <c r="F49" s="36" t="s">
        <v>412</v>
      </c>
      <c r="G49" s="36"/>
      <c r="H49" s="243">
        <f>+IF(G49&gt;0,VLOOKUP(F49&amp;E49&amp;G49,Data!$AY$60:$BC$496,4,0),0)</f>
        <v>0</v>
      </c>
      <c r="I49" s="240"/>
      <c r="J49" s="15"/>
      <c r="K49" s="579">
        <v>0</v>
      </c>
      <c r="L49" s="36"/>
      <c r="M49" s="37"/>
      <c r="N49" s="36"/>
      <c r="O49" s="243">
        <f>+IF(N49&gt;0,VLOOKUP(M49&amp;L49&amp;N49,Data!$AY$60:$BC$496,4,0),0)</f>
        <v>0</v>
      </c>
      <c r="P49" s="36"/>
      <c r="Q49" s="36"/>
      <c r="R49" s="579">
        <v>0</v>
      </c>
      <c r="S49" s="15"/>
      <c r="T49" s="579">
        <v>0</v>
      </c>
      <c r="U49" s="17"/>
      <c r="V49" s="17"/>
      <c r="W49" s="47"/>
    </row>
    <row r="50" spans="1:33" x14ac:dyDescent="0.25">
      <c r="A50" s="236">
        <f>VLOOKUP(B50,Data!$AT$4:$AX$31,4,FALSE)</f>
        <v>0</v>
      </c>
      <c r="B50" s="36" t="s">
        <v>412</v>
      </c>
      <c r="C50" s="145"/>
      <c r="D50" s="358" t="str">
        <f>+VLOOKUP(B50,Data!$AR$60:$AS$109,2,0)</f>
        <v>-</v>
      </c>
      <c r="E50" s="36" t="s">
        <v>407</v>
      </c>
      <c r="F50" s="36" t="s">
        <v>412</v>
      </c>
      <c r="G50" s="36"/>
      <c r="H50" s="243">
        <f>+IF(G50&gt;0,VLOOKUP(F50&amp;E50&amp;G50,Data!$AY$60:$BC$496,4,0),0)</f>
        <v>0</v>
      </c>
      <c r="I50" s="240"/>
      <c r="J50" s="15"/>
      <c r="K50" s="579">
        <v>0</v>
      </c>
      <c r="L50" s="36"/>
      <c r="M50" s="37"/>
      <c r="N50" s="36"/>
      <c r="O50" s="243">
        <f>+IF(N50&gt;0,VLOOKUP(M50&amp;L50&amp;N50,Data!$AY$60:$BC$496,4,0),0)</f>
        <v>0</v>
      </c>
      <c r="P50" s="36"/>
      <c r="Q50" s="36"/>
      <c r="R50" s="579">
        <v>0</v>
      </c>
      <c r="S50" s="15"/>
      <c r="T50" s="579">
        <v>0</v>
      </c>
      <c r="U50" s="17"/>
      <c r="V50" s="17"/>
      <c r="W50" s="47"/>
    </row>
    <row r="51" spans="1:33" x14ac:dyDescent="0.25">
      <c r="A51" s="236">
        <f>VLOOKUP(B51,Data!$AT$4:$AX$31,4,FALSE)</f>
        <v>0</v>
      </c>
      <c r="B51" s="36" t="s">
        <v>412</v>
      </c>
      <c r="C51" s="145"/>
      <c r="D51" s="358" t="str">
        <f>+VLOOKUP(B51,Data!$AR$60:$AS$109,2,0)</f>
        <v>-</v>
      </c>
      <c r="E51" s="36" t="s">
        <v>407</v>
      </c>
      <c r="F51" s="36" t="s">
        <v>412</v>
      </c>
      <c r="G51" s="36"/>
      <c r="H51" s="243">
        <f>+IF(G51&gt;0,VLOOKUP(F51&amp;E51&amp;G51,Data!$AY$60:$BC$496,4,0),0)</f>
        <v>0</v>
      </c>
      <c r="I51" s="240"/>
      <c r="J51" s="15"/>
      <c r="K51" s="579">
        <v>0</v>
      </c>
      <c r="L51" s="36"/>
      <c r="M51" s="37"/>
      <c r="N51" s="36"/>
      <c r="O51" s="243">
        <f>+IF(N51&gt;0,VLOOKUP(M51&amp;L51&amp;N51,Data!$AY$60:$BC$496,4,0),0)</f>
        <v>0</v>
      </c>
      <c r="P51" s="36"/>
      <c r="Q51" s="36"/>
      <c r="R51" s="579">
        <v>0</v>
      </c>
      <c r="S51" s="15"/>
      <c r="T51" s="579">
        <v>0</v>
      </c>
      <c r="U51" s="17"/>
      <c r="V51" s="17"/>
      <c r="W51" s="47"/>
    </row>
    <row r="52" spans="1:33" x14ac:dyDescent="0.25">
      <c r="A52" s="236">
        <f>VLOOKUP(B52,Data!$AT$4:$AX$31,4,FALSE)</f>
        <v>0</v>
      </c>
      <c r="B52" s="36" t="s">
        <v>412</v>
      </c>
      <c r="C52" s="145"/>
      <c r="D52" s="358" t="str">
        <f>+VLOOKUP(B52,Data!$AR$60:$AS$109,2,0)</f>
        <v>-</v>
      </c>
      <c r="E52" s="36" t="s">
        <v>407</v>
      </c>
      <c r="F52" s="36" t="s">
        <v>412</v>
      </c>
      <c r="G52" s="36"/>
      <c r="H52" s="243">
        <f>+IF(G52&gt;0,VLOOKUP(F52&amp;E52&amp;G52,Data!$AY$60:$BC$496,4,0),0)</f>
        <v>0</v>
      </c>
      <c r="I52" s="240"/>
      <c r="J52" s="15"/>
      <c r="K52" s="579">
        <v>0</v>
      </c>
      <c r="L52" s="36"/>
      <c r="M52" s="37"/>
      <c r="N52" s="36"/>
      <c r="O52" s="243">
        <f>+IF(N52&gt;0,VLOOKUP(M52&amp;L52&amp;N52,Data!$AY$60:$BC$496,4,0),0)</f>
        <v>0</v>
      </c>
      <c r="P52" s="36"/>
      <c r="Q52" s="36"/>
      <c r="R52" s="579">
        <v>0</v>
      </c>
      <c r="S52" s="15"/>
      <c r="T52" s="579">
        <v>0</v>
      </c>
      <c r="U52" s="17"/>
      <c r="V52" s="17"/>
      <c r="W52" s="47"/>
    </row>
    <row r="53" spans="1:33" x14ac:dyDescent="0.25">
      <c r="A53" s="236">
        <f>VLOOKUP(B53,Data!$AT$4:$AX$31,4,FALSE)</f>
        <v>0</v>
      </c>
      <c r="B53" s="36" t="s">
        <v>412</v>
      </c>
      <c r="C53" s="145"/>
      <c r="D53" s="358" t="str">
        <f>+VLOOKUP(B53,Data!$AR$60:$AS$109,2,0)</f>
        <v>-</v>
      </c>
      <c r="E53" s="36" t="s">
        <v>407</v>
      </c>
      <c r="F53" s="36" t="s">
        <v>412</v>
      </c>
      <c r="G53" s="36"/>
      <c r="H53" s="243">
        <f>+IF(G53&gt;0,VLOOKUP(F53&amp;E53&amp;G53,Data!$AY$60:$BC$496,4,0),0)</f>
        <v>0</v>
      </c>
      <c r="I53" s="240"/>
      <c r="J53" s="15"/>
      <c r="K53" s="579">
        <v>0</v>
      </c>
      <c r="L53" s="36"/>
      <c r="M53" s="37"/>
      <c r="N53" s="36"/>
      <c r="O53" s="243">
        <f>+IF(N53&gt;0,VLOOKUP(M53&amp;L53&amp;N53,Data!$AY$60:$BC$496,4,0),0)</f>
        <v>0</v>
      </c>
      <c r="P53" s="36"/>
      <c r="Q53" s="36"/>
      <c r="R53" s="579">
        <v>0</v>
      </c>
      <c r="S53" s="15"/>
      <c r="T53" s="579">
        <v>0</v>
      </c>
      <c r="U53" s="17"/>
      <c r="V53" s="17"/>
      <c r="W53" s="47"/>
    </row>
    <row r="54" spans="1:33" x14ac:dyDescent="0.25">
      <c r="A54" s="236">
        <f>VLOOKUP(B54,Data!$AT$4:$AX$31,4,FALSE)</f>
        <v>0</v>
      </c>
      <c r="B54" s="36" t="s">
        <v>412</v>
      </c>
      <c r="C54" s="145"/>
      <c r="D54" s="358" t="str">
        <f>+VLOOKUP(B54,Data!$AR$60:$AS$109,2,0)</f>
        <v>-</v>
      </c>
      <c r="E54" s="36" t="s">
        <v>407</v>
      </c>
      <c r="F54" s="36" t="s">
        <v>412</v>
      </c>
      <c r="G54" s="36"/>
      <c r="H54" s="243">
        <f>+IF(G54&gt;0,VLOOKUP(F54&amp;E54&amp;G54,Data!$AY$60:$BC$496,4,0),0)</f>
        <v>0</v>
      </c>
      <c r="I54" s="240"/>
      <c r="J54" s="15"/>
      <c r="K54" s="579">
        <v>0</v>
      </c>
      <c r="L54" s="36"/>
      <c r="M54" s="37"/>
      <c r="N54" s="36"/>
      <c r="O54" s="243">
        <f>+IF(N54&gt;0,VLOOKUP(M54&amp;L54&amp;N54,Data!$AY$60:$BC$496,4,0),0)</f>
        <v>0</v>
      </c>
      <c r="P54" s="36"/>
      <c r="Q54" s="36"/>
      <c r="R54" s="579">
        <v>0</v>
      </c>
      <c r="S54" s="15"/>
      <c r="T54" s="579">
        <v>0</v>
      </c>
      <c r="U54" s="17"/>
      <c r="V54" s="17"/>
      <c r="W54" s="47"/>
    </row>
    <row r="55" spans="1:33" x14ac:dyDescent="0.25">
      <c r="A55" s="145"/>
      <c r="B55" s="145"/>
      <c r="C55" s="145"/>
      <c r="D55" s="358"/>
      <c r="E55" s="36" t="s">
        <v>407</v>
      </c>
      <c r="F55" s="36" t="s">
        <v>412</v>
      </c>
      <c r="G55" s="36"/>
      <c r="H55" s="243">
        <f>+IF(G55&gt;0,VLOOKUP(F55&amp;E55&amp;G55,Data!$AY$60:$BC$496,4,0),0)</f>
        <v>0</v>
      </c>
      <c r="I55" s="240"/>
      <c r="J55" s="15"/>
      <c r="K55" s="579">
        <v>0</v>
      </c>
      <c r="L55" s="36"/>
      <c r="M55" s="37"/>
      <c r="N55" s="36"/>
      <c r="O55" s="243">
        <f>+IF(N55&gt;0,VLOOKUP(M55&amp;L55&amp;N55,Data!$AY$60:$BC$496,4,0),0)</f>
        <v>0</v>
      </c>
      <c r="P55" s="36"/>
      <c r="Q55" s="36"/>
      <c r="R55" s="579">
        <v>0</v>
      </c>
      <c r="S55" s="15"/>
      <c r="T55" s="579">
        <v>0</v>
      </c>
      <c r="U55" s="17"/>
      <c r="V55" s="17"/>
      <c r="W55" s="47"/>
    </row>
    <row r="56" spans="1:33" ht="15.75" thickBot="1" x14ac:dyDescent="0.3">
      <c r="A56" s="145"/>
      <c r="B56" s="145"/>
      <c r="C56" s="145"/>
      <c r="D56" s="358"/>
      <c r="E56" s="36" t="s">
        <v>407</v>
      </c>
      <c r="F56" s="36" t="s">
        <v>412</v>
      </c>
      <c r="G56" s="36"/>
      <c r="H56" s="243">
        <f>+IF(G56&gt;0,VLOOKUP(F56&amp;E56&amp;G56,Data!$AY$60:$BC$496,4,0),0)</f>
        <v>0</v>
      </c>
      <c r="I56" s="240"/>
      <c r="J56" s="15"/>
      <c r="K56" s="579">
        <v>0</v>
      </c>
      <c r="L56" s="36"/>
      <c r="M56" s="37"/>
      <c r="N56" s="36"/>
      <c r="O56" s="243">
        <f>+IF(N56&gt;0,VLOOKUP(M56&amp;L56&amp;N56,Data!$AY$60:$BC$496,4,0),0)</f>
        <v>0</v>
      </c>
      <c r="P56" s="36"/>
      <c r="Q56" s="36"/>
      <c r="R56" s="579">
        <v>0</v>
      </c>
      <c r="S56" s="15"/>
      <c r="T56" s="579">
        <v>0</v>
      </c>
      <c r="U56" s="17"/>
      <c r="V56" s="17"/>
      <c r="W56" s="47"/>
    </row>
    <row r="57" spans="1:33" s="89" customFormat="1" ht="21.75" thickBot="1" x14ac:dyDescent="0.4">
      <c r="A57" s="86" t="str">
        <f>IF(Schip!$I$8&gt;3,"80 Mast","")</f>
        <v>80 Mast</v>
      </c>
      <c r="B57" s="239"/>
      <c r="C57" s="87"/>
      <c r="D57" s="87"/>
      <c r="E57" s="239"/>
      <c r="F57" s="87"/>
      <c r="G57" s="87"/>
      <c r="H57" s="87"/>
      <c r="I57" s="87"/>
      <c r="J57" s="87"/>
      <c r="K57" s="87"/>
      <c r="L57" s="239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239"/>
      <c r="X57" s="239"/>
      <c r="Y57" s="239"/>
      <c r="Z57" s="239"/>
      <c r="AG57" s="90"/>
    </row>
    <row r="58" spans="1:33" x14ac:dyDescent="0.25">
      <c r="A58" s="236">
        <f>VLOOKUP(B58,Data!$AT$4:$AX$31,5,FALSE)</f>
        <v>0</v>
      </c>
      <c r="B58" s="36" t="s">
        <v>412</v>
      </c>
      <c r="C58" s="237"/>
      <c r="D58" s="358" t="str">
        <f>+VLOOKUP(B58,Data!$AR$60:$AS$109,2,0)</f>
        <v>-</v>
      </c>
      <c r="E58" s="36" t="s">
        <v>407</v>
      </c>
      <c r="F58" s="36" t="s">
        <v>412</v>
      </c>
      <c r="G58" s="36"/>
      <c r="H58" s="243">
        <f>+IF(G58&gt;0,VLOOKUP(F58&amp;E58&amp;G58,Data!$AY$60:$BC$496,4,0),0)</f>
        <v>0</v>
      </c>
      <c r="I58" s="240"/>
      <c r="J58" s="15"/>
      <c r="K58" s="579">
        <v>0</v>
      </c>
      <c r="L58" s="36"/>
      <c r="M58" s="37"/>
      <c r="N58" s="36"/>
      <c r="O58" s="243">
        <f>+IF(N58&gt;0,VLOOKUP(M58&amp;L58&amp;N58,Data!$AY$60:$BC$496,4,0),0)</f>
        <v>0</v>
      </c>
      <c r="P58" s="36"/>
      <c r="Q58" s="36"/>
      <c r="R58" s="579">
        <v>0</v>
      </c>
      <c r="S58" s="15"/>
      <c r="T58" s="579">
        <v>0</v>
      </c>
      <c r="U58" s="17"/>
      <c r="V58" s="17"/>
      <c r="W58" s="47"/>
    </row>
    <row r="59" spans="1:33" x14ac:dyDescent="0.25">
      <c r="A59" s="236">
        <f>VLOOKUP(B59,Data!$AT$4:$AX$31,5,FALSE)</f>
        <v>0</v>
      </c>
      <c r="B59" s="36" t="s">
        <v>412</v>
      </c>
      <c r="C59" s="237"/>
      <c r="D59" s="358" t="str">
        <f>+VLOOKUP(B59,Data!$AR$60:$AS$109,2,0)</f>
        <v>-</v>
      </c>
      <c r="E59" s="36" t="s">
        <v>407</v>
      </c>
      <c r="F59" s="36" t="s">
        <v>412</v>
      </c>
      <c r="G59" s="36"/>
      <c r="H59" s="243">
        <f>+IF(G59&gt;0,VLOOKUP(F59&amp;E59&amp;G59,Data!$AY$60:$BC$496,4,0),0)</f>
        <v>0</v>
      </c>
      <c r="I59" s="240"/>
      <c r="J59" s="15"/>
      <c r="K59" s="579">
        <v>0</v>
      </c>
      <c r="L59" s="36"/>
      <c r="M59" s="37"/>
      <c r="N59" s="36"/>
      <c r="O59" s="243">
        <f>+IF(N59&gt;0,VLOOKUP(M59&amp;L59&amp;N59,Data!$AY$60:$BC$496,4,0),0)</f>
        <v>0</v>
      </c>
      <c r="P59" s="36"/>
      <c r="Q59" s="36"/>
      <c r="R59" s="579">
        <v>0</v>
      </c>
      <c r="S59" s="15"/>
      <c r="T59" s="579">
        <v>0</v>
      </c>
      <c r="U59" s="17"/>
      <c r="V59" s="17"/>
      <c r="W59" s="47"/>
    </row>
    <row r="60" spans="1:33" x14ac:dyDescent="0.25">
      <c r="A60" s="236">
        <f>VLOOKUP(B60,Data!$AT$4:$AX$31,5,FALSE)</f>
        <v>0</v>
      </c>
      <c r="B60" s="36" t="s">
        <v>412</v>
      </c>
      <c r="C60" s="237"/>
      <c r="D60" s="358" t="str">
        <f>+VLOOKUP(B60,Data!$AR$60:$AS$109,2,0)</f>
        <v>-</v>
      </c>
      <c r="E60" s="36" t="s">
        <v>407</v>
      </c>
      <c r="F60" s="36" t="s">
        <v>412</v>
      </c>
      <c r="G60" s="36"/>
      <c r="H60" s="243">
        <f>+IF(G60&gt;0,VLOOKUP(F60&amp;E60&amp;G60,Data!$AY$60:$BC$496,4,0),0)</f>
        <v>0</v>
      </c>
      <c r="I60" s="240"/>
      <c r="J60" s="15"/>
      <c r="K60" s="579">
        <v>0</v>
      </c>
      <c r="L60" s="36"/>
      <c r="M60" s="37"/>
      <c r="N60" s="36"/>
      <c r="O60" s="243">
        <f>+IF(N60&gt;0,VLOOKUP(M60&amp;L60&amp;N60,Data!$AY$60:$BC$496,4,0),0)</f>
        <v>0</v>
      </c>
      <c r="P60" s="36"/>
      <c r="Q60" s="36"/>
      <c r="R60" s="579">
        <v>0</v>
      </c>
      <c r="S60" s="15"/>
      <c r="T60" s="579">
        <v>0</v>
      </c>
      <c r="U60" s="17"/>
      <c r="V60" s="17"/>
      <c r="W60" s="47"/>
    </row>
    <row r="61" spans="1:33" x14ac:dyDescent="0.25">
      <c r="A61" s="236">
        <f>VLOOKUP(B61,Data!$AT$4:$AX$31,5,FALSE)</f>
        <v>0</v>
      </c>
      <c r="B61" s="36" t="s">
        <v>412</v>
      </c>
      <c r="C61" s="237"/>
      <c r="D61" s="358" t="str">
        <f>+VLOOKUP(B61,Data!$AR$60:$AS$109,2,0)</f>
        <v>-</v>
      </c>
      <c r="E61" s="36" t="s">
        <v>407</v>
      </c>
      <c r="F61" s="36" t="s">
        <v>412</v>
      </c>
      <c r="G61" s="36"/>
      <c r="H61" s="243">
        <f>+IF(G61&gt;0,VLOOKUP(F61&amp;E61&amp;G61,Data!$AY$60:$BC$496,4,0),0)</f>
        <v>0</v>
      </c>
      <c r="I61" s="240"/>
      <c r="J61" s="15"/>
      <c r="K61" s="579">
        <v>0</v>
      </c>
      <c r="L61" s="36"/>
      <c r="M61" s="37"/>
      <c r="N61" s="36"/>
      <c r="O61" s="243">
        <f>+IF(N61&gt;0,VLOOKUP(M61&amp;L61&amp;N61,Data!$AY$60:$BC$496,4,0),0)</f>
        <v>0</v>
      </c>
      <c r="P61" s="36"/>
      <c r="Q61" s="36"/>
      <c r="R61" s="579">
        <v>0</v>
      </c>
      <c r="S61" s="15"/>
      <c r="T61" s="579">
        <v>0</v>
      </c>
      <c r="U61" s="17"/>
      <c r="V61" s="17"/>
      <c r="W61" s="47"/>
    </row>
    <row r="62" spans="1:33" x14ac:dyDescent="0.25">
      <c r="A62" s="236">
        <f>VLOOKUP(B62,Data!$AT$4:$AX$31,5,FALSE)</f>
        <v>0</v>
      </c>
      <c r="B62" s="36" t="s">
        <v>412</v>
      </c>
      <c r="C62" s="237"/>
      <c r="D62" s="358" t="str">
        <f>+VLOOKUP(B62,Data!$AR$60:$AS$109,2,0)</f>
        <v>-</v>
      </c>
      <c r="E62" s="36" t="s">
        <v>407</v>
      </c>
      <c r="F62" s="36" t="s">
        <v>412</v>
      </c>
      <c r="G62" s="36"/>
      <c r="H62" s="243">
        <f>+IF(G62&gt;0,VLOOKUP(F62&amp;E62&amp;G62,Data!$AY$60:$BC$496,4,0),0)</f>
        <v>0</v>
      </c>
      <c r="I62" s="240"/>
      <c r="J62" s="15"/>
      <c r="K62" s="579">
        <v>0</v>
      </c>
      <c r="L62" s="36"/>
      <c r="M62" s="37"/>
      <c r="N62" s="36"/>
      <c r="O62" s="243">
        <f>+IF(N62&gt;0,VLOOKUP(M62&amp;L62&amp;N62,Data!$AY$60:$BC$496,4,0),0)</f>
        <v>0</v>
      </c>
      <c r="P62" s="36"/>
      <c r="Q62" s="36"/>
      <c r="R62" s="579">
        <v>0</v>
      </c>
      <c r="S62" s="15"/>
      <c r="T62" s="579">
        <v>0</v>
      </c>
      <c r="U62" s="17"/>
      <c r="V62" s="17"/>
      <c r="W62" s="47"/>
    </row>
    <row r="63" spans="1:33" x14ac:dyDescent="0.25">
      <c r="A63" s="236">
        <f>VLOOKUP(B63,Data!$AT$4:$AX$31,5,FALSE)</f>
        <v>0</v>
      </c>
      <c r="B63" s="36" t="s">
        <v>412</v>
      </c>
      <c r="C63" s="237"/>
      <c r="D63" s="358" t="str">
        <f>+VLOOKUP(B63,Data!$AR$60:$AS$109,2,0)</f>
        <v>-</v>
      </c>
      <c r="E63" s="36" t="s">
        <v>407</v>
      </c>
      <c r="F63" s="36" t="s">
        <v>412</v>
      </c>
      <c r="G63" s="36"/>
      <c r="H63" s="243">
        <f>+IF(G63&gt;0,VLOOKUP(F63&amp;E63&amp;G63,Data!$AY$60:$BC$496,4,0),0)</f>
        <v>0</v>
      </c>
      <c r="I63" s="240"/>
      <c r="J63" s="15"/>
      <c r="K63" s="579">
        <v>0</v>
      </c>
      <c r="L63" s="36"/>
      <c r="M63" s="37"/>
      <c r="N63" s="36"/>
      <c r="O63" s="243">
        <f>+IF(N63&gt;0,VLOOKUP(M63&amp;L63&amp;N63,Data!$AY$60:$BC$496,4,0),0)</f>
        <v>0</v>
      </c>
      <c r="P63" s="36"/>
      <c r="Q63" s="36"/>
      <c r="R63" s="579">
        <v>0</v>
      </c>
      <c r="S63" s="15"/>
      <c r="T63" s="579">
        <v>0</v>
      </c>
      <c r="U63" s="17"/>
      <c r="V63" s="17"/>
      <c r="W63" s="47"/>
    </row>
    <row r="64" spans="1:33" x14ac:dyDescent="0.25">
      <c r="A64" s="236">
        <f>VLOOKUP(B64,Data!$AT$4:$AX$31,5,FALSE)</f>
        <v>0</v>
      </c>
      <c r="B64" s="36" t="s">
        <v>412</v>
      </c>
      <c r="C64" s="237"/>
      <c r="D64" s="358" t="str">
        <f>+VLOOKUP(B64,Data!$AR$60:$AS$109,2,0)</f>
        <v>-</v>
      </c>
      <c r="E64" s="36" t="s">
        <v>407</v>
      </c>
      <c r="F64" s="36" t="s">
        <v>412</v>
      </c>
      <c r="G64" s="36"/>
      <c r="H64" s="243">
        <f>+IF(G64&gt;0,VLOOKUP(F64&amp;E64&amp;G64,Data!$AY$60:$BC$496,4,0),0)</f>
        <v>0</v>
      </c>
      <c r="I64" s="240"/>
      <c r="J64" s="15"/>
      <c r="K64" s="579">
        <v>0</v>
      </c>
      <c r="L64" s="36"/>
      <c r="M64" s="37"/>
      <c r="N64" s="36"/>
      <c r="O64" s="243">
        <f>+IF(N64&gt;0,VLOOKUP(M64&amp;L64&amp;N64,Data!$AY$60:$BC$496,4,0),0)</f>
        <v>0</v>
      </c>
      <c r="P64" s="36"/>
      <c r="Q64" s="36"/>
      <c r="R64" s="579">
        <v>0</v>
      </c>
      <c r="S64" s="15"/>
      <c r="T64" s="579">
        <v>0</v>
      </c>
      <c r="U64" s="17"/>
      <c r="V64" s="17"/>
      <c r="W64" s="47"/>
    </row>
    <row r="65" spans="1:33" x14ac:dyDescent="0.25">
      <c r="A65" s="236">
        <f>VLOOKUP(B65,Data!$AT$4:$AX$31,5,FALSE)</f>
        <v>0</v>
      </c>
      <c r="B65" s="36" t="s">
        <v>412</v>
      </c>
      <c r="C65" s="237"/>
      <c r="D65" s="358" t="str">
        <f>+VLOOKUP(B65,Data!$AR$60:$AS$109,2,0)</f>
        <v>-</v>
      </c>
      <c r="E65" s="36" t="s">
        <v>407</v>
      </c>
      <c r="F65" s="36" t="s">
        <v>412</v>
      </c>
      <c r="G65" s="36"/>
      <c r="H65" s="243">
        <f>+IF(G65&gt;0,VLOOKUP(F65&amp;E65&amp;G65,Data!$AY$60:$BC$496,4,0),0)</f>
        <v>0</v>
      </c>
      <c r="I65" s="240"/>
      <c r="J65" s="15"/>
      <c r="K65" s="579">
        <v>0</v>
      </c>
      <c r="L65" s="36"/>
      <c r="M65" s="37"/>
      <c r="N65" s="36"/>
      <c r="O65" s="243">
        <f>+IF(N65&gt;0,VLOOKUP(M65&amp;L65&amp;N65,Data!$AY$60:$BC$496,4,0),0)</f>
        <v>0</v>
      </c>
      <c r="P65" s="36"/>
      <c r="Q65" s="36"/>
      <c r="R65" s="579">
        <v>0</v>
      </c>
      <c r="S65" s="15"/>
      <c r="T65" s="579">
        <v>0</v>
      </c>
      <c r="U65" s="17"/>
      <c r="V65" s="17"/>
      <c r="W65" s="47"/>
    </row>
    <row r="66" spans="1:33" x14ac:dyDescent="0.25">
      <c r="A66" s="236">
        <f>VLOOKUP(B66,Data!$AT$4:$AX$31,5,FALSE)</f>
        <v>0</v>
      </c>
      <c r="B66" s="36" t="s">
        <v>412</v>
      </c>
      <c r="C66" s="237"/>
      <c r="D66" s="358" t="str">
        <f>+VLOOKUP(B66,Data!$AR$60:$AS$109,2,0)</f>
        <v>-</v>
      </c>
      <c r="E66" s="36" t="s">
        <v>407</v>
      </c>
      <c r="F66" s="36" t="s">
        <v>412</v>
      </c>
      <c r="G66" s="36"/>
      <c r="H66" s="243">
        <f>+IF(G66&gt;0,VLOOKUP(F66&amp;E66&amp;G66,Data!$AY$60:$BC$496,4,0),0)</f>
        <v>0</v>
      </c>
      <c r="I66" s="240"/>
      <c r="J66" s="15"/>
      <c r="K66" s="579">
        <v>0</v>
      </c>
      <c r="L66" s="36"/>
      <c r="M66" s="37"/>
      <c r="N66" s="36"/>
      <c r="O66" s="243">
        <f>+IF(N66&gt;0,VLOOKUP(M66&amp;L66&amp;N66,Data!$AY$60:$BC$496,4,0),0)</f>
        <v>0</v>
      </c>
      <c r="P66" s="36"/>
      <c r="Q66" s="36"/>
      <c r="R66" s="579">
        <v>0</v>
      </c>
      <c r="S66" s="15"/>
      <c r="T66" s="579">
        <v>0</v>
      </c>
      <c r="U66" s="17"/>
      <c r="V66" s="17"/>
      <c r="W66" s="47"/>
    </row>
    <row r="67" spans="1:33" x14ac:dyDescent="0.25">
      <c r="A67" s="236">
        <f>VLOOKUP(B67,Data!$AT$4:$AX$31,5,FALSE)</f>
        <v>0</v>
      </c>
      <c r="B67" s="36" t="s">
        <v>412</v>
      </c>
      <c r="C67" s="237"/>
      <c r="D67" s="358" t="str">
        <f>+VLOOKUP(B67,Data!$AR$60:$AS$109,2,0)</f>
        <v>-</v>
      </c>
      <c r="E67" s="36" t="s">
        <v>407</v>
      </c>
      <c r="F67" s="36" t="s">
        <v>412</v>
      </c>
      <c r="G67" s="36"/>
      <c r="H67" s="243">
        <f>+IF(G67&gt;0,VLOOKUP(F67&amp;E67&amp;G67,Data!$AY$60:$BC$496,4,0),0)</f>
        <v>0</v>
      </c>
      <c r="I67" s="240"/>
      <c r="J67" s="15"/>
      <c r="K67" s="579">
        <v>0</v>
      </c>
      <c r="L67" s="36"/>
      <c r="M67" s="37"/>
      <c r="N67" s="36"/>
      <c r="O67" s="243">
        <f>+IF(N67&gt;0,VLOOKUP(M67&amp;L67&amp;N67,Data!$AY$60:$BC$496,4,0),0)</f>
        <v>0</v>
      </c>
      <c r="P67" s="36"/>
      <c r="Q67" s="36"/>
      <c r="R67" s="579">
        <v>0</v>
      </c>
      <c r="S67" s="15"/>
      <c r="T67" s="579">
        <v>0</v>
      </c>
      <c r="U67" s="17"/>
      <c r="V67" s="17"/>
      <c r="W67" s="47"/>
    </row>
    <row r="68" spans="1:33" x14ac:dyDescent="0.25">
      <c r="A68" s="145"/>
      <c r="B68" s="145"/>
      <c r="C68" s="145"/>
      <c r="D68" s="358"/>
      <c r="E68" s="36" t="s">
        <v>407</v>
      </c>
      <c r="F68" s="36" t="s">
        <v>412</v>
      </c>
      <c r="G68" s="36"/>
      <c r="H68" s="243">
        <f>+IF(G68&gt;0,VLOOKUP(F68&amp;E68&amp;G68,Data!$AY$60:$BC$496,4,0),0)</f>
        <v>0</v>
      </c>
      <c r="I68" s="240"/>
      <c r="J68" s="15"/>
      <c r="K68" s="579">
        <v>0</v>
      </c>
      <c r="L68" s="36"/>
      <c r="M68" s="37"/>
      <c r="N68" s="36"/>
      <c r="O68" s="243">
        <f>+IF(N68&gt;0,VLOOKUP(M68&amp;L68&amp;N68,Data!$AY$60:$BC$496,4,0),0)</f>
        <v>0</v>
      </c>
      <c r="P68" s="36"/>
      <c r="Q68" s="36"/>
      <c r="R68" s="579">
        <v>0</v>
      </c>
      <c r="S68" s="15"/>
      <c r="T68" s="579">
        <v>0</v>
      </c>
      <c r="U68" s="17"/>
      <c r="V68" s="17"/>
      <c r="W68" s="47"/>
    </row>
    <row r="69" spans="1:33" ht="15.75" thickBot="1" x14ac:dyDescent="0.3">
      <c r="A69" s="145"/>
      <c r="B69" s="145"/>
      <c r="C69" s="145"/>
      <c r="D69" s="358"/>
      <c r="E69" s="36" t="s">
        <v>407</v>
      </c>
      <c r="F69" s="36" t="s">
        <v>412</v>
      </c>
      <c r="G69" s="36"/>
      <c r="H69" s="243">
        <f>+IF(G69&gt;0,VLOOKUP(F69&amp;E69&amp;G69,Data!$AY$60:$BC$496,4,0),0)</f>
        <v>0</v>
      </c>
      <c r="I69" s="240"/>
      <c r="J69" s="15"/>
      <c r="K69" s="579">
        <v>0</v>
      </c>
      <c r="L69" s="36"/>
      <c r="M69" s="37"/>
      <c r="N69" s="36"/>
      <c r="O69" s="243">
        <f>+IF(N69&gt;0,VLOOKUP(M69&amp;L69&amp;N69,Data!$AY$60:$BC$496,4,0),0)</f>
        <v>0</v>
      </c>
      <c r="P69" s="36"/>
      <c r="Q69" s="36"/>
      <c r="R69" s="579">
        <v>0</v>
      </c>
      <c r="S69" s="15"/>
      <c r="T69" s="579">
        <v>0</v>
      </c>
      <c r="U69" s="17"/>
      <c r="V69" s="17"/>
      <c r="W69" s="47"/>
    </row>
    <row r="70" spans="1:33" s="89" customFormat="1" ht="21.75" thickBot="1" x14ac:dyDescent="0.4">
      <c r="A70" s="86"/>
      <c r="B70" s="239"/>
      <c r="C70" s="87"/>
      <c r="D70" s="87"/>
      <c r="E70" s="239"/>
      <c r="F70" s="87"/>
      <c r="G70" s="87"/>
      <c r="H70" s="87"/>
      <c r="I70" s="87"/>
      <c r="J70" s="87"/>
      <c r="K70" s="87"/>
      <c r="L70" s="239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239"/>
      <c r="X70" s="239"/>
      <c r="Y70" s="239"/>
      <c r="Z70" s="239"/>
      <c r="AG70" s="90"/>
    </row>
    <row r="71" spans="1:33" x14ac:dyDescent="0.25">
      <c r="A71" s="69"/>
    </row>
    <row r="72" spans="1:33" x14ac:dyDescent="0.25">
      <c r="A72" s="69"/>
    </row>
    <row r="73" spans="1:33" x14ac:dyDescent="0.25">
      <c r="A73" s="69"/>
    </row>
    <row r="74" spans="1:33" x14ac:dyDescent="0.25">
      <c r="A74" s="69"/>
    </row>
    <row r="75" spans="1:33" x14ac:dyDescent="0.25">
      <c r="A75" s="69"/>
    </row>
    <row r="76" spans="1:33" x14ac:dyDescent="0.25">
      <c r="A76" s="69"/>
    </row>
    <row r="77" spans="1:33" x14ac:dyDescent="0.25">
      <c r="A77" s="69"/>
    </row>
    <row r="78" spans="1:33" x14ac:dyDescent="0.25">
      <c r="A78" s="69"/>
    </row>
    <row r="79" spans="1:33" x14ac:dyDescent="0.25">
      <c r="A79" s="69"/>
    </row>
    <row r="80" spans="1:33" x14ac:dyDescent="0.25">
      <c r="A80" s="69"/>
    </row>
    <row r="81" spans="1:1" x14ac:dyDescent="0.25">
      <c r="A81" s="69"/>
    </row>
    <row r="82" spans="1:1" x14ac:dyDescent="0.25">
      <c r="A82" s="69"/>
    </row>
    <row r="83" spans="1:1" x14ac:dyDescent="0.25">
      <c r="A83" s="69"/>
    </row>
    <row r="84" spans="1:1" x14ac:dyDescent="0.25">
      <c r="A84" s="69"/>
    </row>
    <row r="85" spans="1:1" x14ac:dyDescent="0.25">
      <c r="A85" s="69"/>
    </row>
  </sheetData>
  <mergeCells count="10">
    <mergeCell ref="M1:T1"/>
    <mergeCell ref="L2:O2"/>
    <mergeCell ref="B2:C2"/>
    <mergeCell ref="J2:K2"/>
    <mergeCell ref="U2:V2"/>
    <mergeCell ref="L5:T5"/>
    <mergeCell ref="J5:K5"/>
    <mergeCell ref="S2:T2"/>
    <mergeCell ref="E2:I2"/>
    <mergeCell ref="P2:R2"/>
  </mergeCells>
  <dataValidations disablePrompts="1" count="2">
    <dataValidation type="list" allowBlank="1" showInputMessage="1" showErrorMessage="1" sqref="I13" xr:uid="{00000000-0002-0000-0700-000000000000}">
      <formula1>$C$2:$C$27</formula1>
    </dataValidation>
    <dataValidation type="list" allowBlank="1" showInputMessage="1" showErrorMessage="1" sqref="B70" xr:uid="{00000000-0002-0000-0700-000001000000}">
      <formula1>#REF!</formula1>
    </dataValidation>
  </dataValidations>
  <hyperlinks>
    <hyperlink ref="C1" location="Schip!A1" display="Schip!A1" xr:uid="{00000000-0004-0000-0700-000000000000}"/>
  </hyperlink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00000000-0002-0000-0700-000002000000}">
          <x14:formula1>
            <xm:f>Data!$BH$4:$BH$7</xm:f>
          </x14:formula1>
          <xm:sqref>M14:M30 M6:M12 M32:M43 M45:M56 M58:M69</xm:sqref>
        </x14:dataValidation>
        <x14:dataValidation type="list" allowBlank="1" showInputMessage="1" showErrorMessage="1" xr:uid="{00000000-0002-0000-0700-000003000000}">
          <x14:formula1>
            <xm:f>Data!$AZ$4:$AZ$13</xm:f>
          </x14:formula1>
          <xm:sqref>F14:F19 F6:F12</xm:sqref>
        </x14:dataValidation>
        <x14:dataValidation type="list" allowBlank="1" showInputMessage="1" showErrorMessage="1" xr:uid="{00000000-0002-0000-0700-000004000000}">
          <x14:formula1>
            <xm:f>Data!$BF$4:$BF$26</xm:f>
          </x14:formula1>
          <xm:sqref>P14:Q30 P6:Q12 P32:Q43 P45:Q56 P58:Q69</xm:sqref>
        </x14:dataValidation>
        <x14:dataValidation type="list" allowBlank="1" showInputMessage="1" showErrorMessage="1" xr:uid="{00000000-0002-0000-0700-000005000000}">
          <x14:formula1>
            <xm:f>Data!$BG$4:$BG$12</xm:f>
          </x14:formula1>
          <xm:sqref>L45:L56 L6:L12 L14:L30 L32:L43 L58:L69</xm:sqref>
        </x14:dataValidation>
        <x14:dataValidation type="list" allowBlank="1" showInputMessage="1" showErrorMessage="1" xr:uid="{00000000-0002-0000-0700-000006000000}">
          <x14:formula1>
            <xm:f>Data!$AE$4:$AE$28</xm:f>
          </x14:formula1>
          <xm:sqref>N14:N30 G6:G12 N6:N12 G58:G69 G32:G43 N32:N43 G45:G56 N45:N56 N58:N69 G14:G30</xm:sqref>
        </x14:dataValidation>
        <x14:dataValidation type="list" allowBlank="1" showInputMessage="1" showErrorMessage="1" xr:uid="{00000000-0002-0000-0700-000007000000}">
          <x14:formula1>
            <xm:f>Data!$AZ$4:$AZ$15</xm:f>
          </x14:formula1>
          <xm:sqref>F58:F69 F32:F43 F45:F56 F20:F30</xm:sqref>
        </x14:dataValidation>
        <x14:dataValidation type="list" allowBlank="1" showInputMessage="1" showErrorMessage="1" xr:uid="{00000000-0002-0000-0700-000008000000}">
          <x14:formula1>
            <xm:f>Data!$AY$4:$AY$15</xm:f>
          </x14:formula1>
          <xm:sqref>E6:E12 E58:E69 E32:E43 E45:E56 E14:E30</xm:sqref>
        </x14:dataValidation>
        <x14:dataValidation type="list" allowBlank="1" showInputMessage="1" showErrorMessage="1" xr:uid="{00000000-0002-0000-0700-000009000000}">
          <x14:formula1>
            <xm:f>Data!$AR$4:$AR$11</xm:f>
          </x14:formula1>
          <xm:sqref>B6:B11</xm:sqref>
        </x14:dataValidation>
        <x14:dataValidation type="list" allowBlank="1" showInputMessage="1" showErrorMessage="1" xr:uid="{00000000-0002-0000-0700-00000A000000}">
          <x14:formula1>
            <xm:f>Data!$AH$4:$AH$8</xm:f>
          </x14:formula1>
          <xm:sqref>I14:I30 I6:I12 I32:I43 I45:I56 I58:I69</xm:sqref>
        </x14:dataValidation>
        <x14:dataValidation type="list" allowBlank="1" showInputMessage="1" showErrorMessage="1" xr:uid="{00000000-0002-0000-0700-00000B000000}">
          <x14:formula1>
            <xm:f>Data!$AT$4:$AT$30</xm:f>
          </x14:formula1>
          <xm:sqref>B14:B28</xm:sqref>
        </x14:dataValidation>
        <x14:dataValidation type="list" allowBlank="1" showInputMessage="1" showErrorMessage="1" xr:uid="{00000000-0002-0000-0700-00000C000000}">
          <x14:formula1>
            <xm:f>Data!$AT$33:$AT$49</xm:f>
          </x14:formula1>
          <xm:sqref>B32:B41 B45:B54 B58:B67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J54"/>
  <sheetViews>
    <sheetView workbookViewId="0">
      <pane ySplit="3" topLeftCell="A4" activePane="bottomLeft" state="frozen"/>
      <selection pane="bottomLeft" activeCell="B1" sqref="B1"/>
    </sheetView>
  </sheetViews>
  <sheetFormatPr defaultColWidth="9.140625" defaultRowHeight="15" x14ac:dyDescent="0.25"/>
  <cols>
    <col min="2" max="2" width="19.85546875" customWidth="1"/>
    <col min="3" max="3" width="21.5703125" style="19" customWidth="1"/>
    <col min="4" max="4" width="15.42578125" style="19" customWidth="1"/>
    <col min="5" max="6" width="53.5703125" customWidth="1"/>
    <col min="7" max="7" width="17.42578125" customWidth="1"/>
    <col min="8" max="8" width="44.5703125" customWidth="1"/>
    <col min="9" max="9" width="38.42578125" customWidth="1"/>
  </cols>
  <sheetData>
    <row r="1" spans="1:10" s="271" customFormat="1" ht="27" thickBot="1" x14ac:dyDescent="0.45">
      <c r="A1" s="271" t="s">
        <v>572</v>
      </c>
      <c r="C1" s="276"/>
      <c r="D1" s="276"/>
      <c r="E1" s="291" t="s">
        <v>595</v>
      </c>
      <c r="F1" s="277" t="s">
        <v>573</v>
      </c>
    </row>
    <row r="2" spans="1:10" ht="29.25" thickBot="1" x14ac:dyDescent="0.5">
      <c r="A2" s="248"/>
      <c r="B2" s="590" t="s">
        <v>554</v>
      </c>
      <c r="C2" s="591"/>
      <c r="D2" s="591"/>
      <c r="E2" s="591"/>
      <c r="F2" s="591"/>
      <c r="G2" s="592"/>
      <c r="H2" s="592"/>
      <c r="I2" s="593"/>
      <c r="J2" s="248"/>
    </row>
    <row r="3" spans="1:10" ht="15.75" customHeight="1" thickBot="1" x14ac:dyDescent="0.3">
      <c r="A3" s="248"/>
      <c r="B3" s="256" t="s">
        <v>149</v>
      </c>
      <c r="C3" s="79" t="s">
        <v>287</v>
      </c>
      <c r="D3" s="79" t="s">
        <v>558</v>
      </c>
      <c r="E3" s="255" t="s">
        <v>555</v>
      </c>
      <c r="F3" s="255" t="s">
        <v>569</v>
      </c>
      <c r="G3" s="255" t="s">
        <v>556</v>
      </c>
      <c r="H3" s="254" t="s">
        <v>408</v>
      </c>
      <c r="I3" s="253" t="s">
        <v>557</v>
      </c>
      <c r="J3" s="249"/>
    </row>
    <row r="4" spans="1:10" ht="20.100000000000001" customHeight="1" x14ac:dyDescent="0.25">
      <c r="A4" s="248"/>
      <c r="B4" s="273"/>
      <c r="C4" s="16"/>
      <c r="D4" s="16"/>
      <c r="E4" s="274"/>
      <c r="F4" s="274"/>
      <c r="G4" s="264"/>
      <c r="H4" s="251"/>
      <c r="I4" s="258"/>
      <c r="J4" s="248"/>
    </row>
    <row r="5" spans="1:10" ht="20.100000000000001" customHeight="1" x14ac:dyDescent="0.25">
      <c r="A5" s="248"/>
      <c r="B5" s="266"/>
      <c r="C5" s="16"/>
      <c r="D5" s="16"/>
      <c r="E5" s="250"/>
      <c r="F5" s="250"/>
      <c r="G5" s="264"/>
      <c r="H5" s="251"/>
      <c r="I5" s="258"/>
      <c r="J5" s="248"/>
    </row>
    <row r="6" spans="1:10" ht="20.100000000000001" customHeight="1" x14ac:dyDescent="0.25">
      <c r="A6" s="248"/>
      <c r="B6" s="266"/>
      <c r="C6" s="16"/>
      <c r="D6" s="16"/>
      <c r="E6" s="250"/>
      <c r="F6" s="250"/>
      <c r="G6" s="264"/>
      <c r="H6" s="251"/>
      <c r="I6" s="258"/>
      <c r="J6" s="248"/>
    </row>
    <row r="7" spans="1:10" ht="20.100000000000001" customHeight="1" x14ac:dyDescent="0.25">
      <c r="A7" s="248"/>
      <c r="B7" s="266"/>
      <c r="C7" s="16"/>
      <c r="D7" s="16"/>
      <c r="E7" s="250"/>
      <c r="F7" s="250"/>
      <c r="G7" s="264"/>
      <c r="H7" s="251"/>
      <c r="I7" s="258"/>
      <c r="J7" s="248"/>
    </row>
    <row r="8" spans="1:10" ht="20.100000000000001" customHeight="1" x14ac:dyDescent="0.25">
      <c r="A8" s="248"/>
      <c r="B8" s="266"/>
      <c r="C8" s="16"/>
      <c r="D8" s="16"/>
      <c r="E8" s="250"/>
      <c r="F8" s="250"/>
      <c r="G8" s="264"/>
      <c r="H8" s="251"/>
      <c r="I8" s="258"/>
      <c r="J8" s="248"/>
    </row>
    <row r="9" spans="1:10" ht="20.100000000000001" customHeight="1" x14ac:dyDescent="0.25">
      <c r="A9" s="248"/>
      <c r="B9" s="266"/>
      <c r="C9" s="16"/>
      <c r="D9" s="16"/>
      <c r="E9" s="250"/>
      <c r="F9" s="250"/>
      <c r="G9" s="264"/>
      <c r="H9" s="251"/>
      <c r="I9" s="258"/>
      <c r="J9" s="248"/>
    </row>
    <row r="10" spans="1:10" ht="20.100000000000001" customHeight="1" x14ac:dyDescent="0.25">
      <c r="A10" s="248"/>
      <c r="B10" s="266"/>
      <c r="C10" s="16"/>
      <c r="D10" s="16"/>
      <c r="E10" s="250"/>
      <c r="F10" s="250"/>
      <c r="G10" s="264"/>
      <c r="H10" s="251"/>
      <c r="I10" s="258"/>
      <c r="J10" s="248"/>
    </row>
    <row r="11" spans="1:10" ht="20.100000000000001" customHeight="1" x14ac:dyDescent="0.25">
      <c r="A11" s="248"/>
      <c r="B11" s="266"/>
      <c r="C11" s="16"/>
      <c r="D11" s="16"/>
      <c r="E11" s="250"/>
      <c r="F11" s="250"/>
      <c r="G11" s="264"/>
      <c r="H11" s="251"/>
      <c r="I11" s="258"/>
      <c r="J11" s="248"/>
    </row>
    <row r="12" spans="1:10" ht="20.100000000000001" customHeight="1" x14ac:dyDescent="0.25">
      <c r="A12" s="248"/>
      <c r="B12" s="266"/>
      <c r="C12" s="16"/>
      <c r="D12" s="16"/>
      <c r="E12" s="250"/>
      <c r="F12" s="250"/>
      <c r="G12" s="264"/>
      <c r="H12" s="251"/>
      <c r="I12" s="258"/>
      <c r="J12" s="248"/>
    </row>
    <row r="13" spans="1:10" ht="20.100000000000001" customHeight="1" x14ac:dyDescent="0.25">
      <c r="A13" s="248"/>
      <c r="B13" s="266"/>
      <c r="C13" s="16"/>
      <c r="D13" s="16"/>
      <c r="E13" s="250"/>
      <c r="F13" s="250"/>
      <c r="G13" s="264"/>
      <c r="H13" s="251"/>
      <c r="I13" s="258"/>
      <c r="J13" s="248"/>
    </row>
    <row r="14" spans="1:10" ht="20.100000000000001" customHeight="1" x14ac:dyDescent="0.25">
      <c r="A14" s="248"/>
      <c r="B14" s="266"/>
      <c r="C14" s="16"/>
      <c r="D14" s="16"/>
      <c r="E14" s="250"/>
      <c r="F14" s="250"/>
      <c r="G14" s="264"/>
      <c r="H14" s="251"/>
      <c r="I14" s="258"/>
      <c r="J14" s="248"/>
    </row>
    <row r="15" spans="1:10" ht="20.100000000000001" customHeight="1" x14ac:dyDescent="0.25">
      <c r="A15" s="248"/>
      <c r="B15" s="266"/>
      <c r="C15" s="16"/>
      <c r="D15" s="16"/>
      <c r="E15" s="250"/>
      <c r="F15" s="250"/>
      <c r="G15" s="264"/>
      <c r="H15" s="251"/>
      <c r="I15" s="258"/>
      <c r="J15" s="248"/>
    </row>
    <row r="16" spans="1:10" ht="20.100000000000001" customHeight="1" x14ac:dyDescent="0.25">
      <c r="A16" s="248"/>
      <c r="B16" s="266"/>
      <c r="C16" s="16"/>
      <c r="D16" s="16"/>
      <c r="E16" s="250"/>
      <c r="F16" s="250"/>
      <c r="G16" s="264"/>
      <c r="H16" s="251"/>
      <c r="I16" s="258"/>
      <c r="J16" s="248"/>
    </row>
    <row r="17" spans="1:10" ht="20.100000000000001" customHeight="1" x14ac:dyDescent="0.25">
      <c r="A17" s="248"/>
      <c r="B17" s="266"/>
      <c r="C17" s="16"/>
      <c r="D17" s="16"/>
      <c r="E17" s="250"/>
      <c r="F17" s="250"/>
      <c r="G17" s="264"/>
      <c r="H17" s="251"/>
      <c r="I17" s="258"/>
      <c r="J17" s="248"/>
    </row>
    <row r="18" spans="1:10" ht="20.100000000000001" customHeight="1" x14ac:dyDescent="0.25">
      <c r="A18" s="248"/>
      <c r="B18" s="266"/>
      <c r="C18" s="16"/>
      <c r="D18" s="16"/>
      <c r="E18" s="250"/>
      <c r="F18" s="250"/>
      <c r="G18" s="264"/>
      <c r="H18" s="251"/>
      <c r="I18" s="258"/>
      <c r="J18" s="248"/>
    </row>
    <row r="19" spans="1:10" ht="20.100000000000001" customHeight="1" x14ac:dyDescent="0.25">
      <c r="A19" s="248"/>
      <c r="B19" s="266"/>
      <c r="C19" s="16"/>
      <c r="D19" s="16"/>
      <c r="E19" s="250"/>
      <c r="F19" s="250"/>
      <c r="G19" s="264"/>
      <c r="H19" s="251"/>
      <c r="I19" s="258"/>
      <c r="J19" s="248"/>
    </row>
    <row r="20" spans="1:10" ht="20.100000000000001" customHeight="1" x14ac:dyDescent="0.25">
      <c r="A20" s="248"/>
      <c r="B20" s="266"/>
      <c r="C20" s="16"/>
      <c r="D20" s="16"/>
      <c r="E20" s="250"/>
      <c r="F20" s="250"/>
      <c r="G20" s="264"/>
      <c r="H20" s="251"/>
      <c r="I20" s="258"/>
      <c r="J20" s="248"/>
    </row>
    <row r="21" spans="1:10" ht="20.100000000000001" customHeight="1" x14ac:dyDescent="0.25">
      <c r="A21" s="248"/>
      <c r="B21" s="266"/>
      <c r="C21" s="16"/>
      <c r="D21" s="16"/>
      <c r="E21" s="250"/>
      <c r="F21" s="250"/>
      <c r="G21" s="264"/>
      <c r="H21" s="251"/>
      <c r="I21" s="258"/>
      <c r="J21" s="248"/>
    </row>
    <row r="22" spans="1:10" ht="20.100000000000001" customHeight="1" x14ac:dyDescent="0.25">
      <c r="A22" s="248"/>
      <c r="B22" s="266"/>
      <c r="C22" s="16"/>
      <c r="D22" s="16"/>
      <c r="E22" s="250"/>
      <c r="F22" s="250"/>
      <c r="G22" s="264"/>
      <c r="H22" s="251"/>
      <c r="I22" s="258"/>
      <c r="J22" s="248"/>
    </row>
    <row r="23" spans="1:10" ht="20.100000000000001" customHeight="1" x14ac:dyDescent="0.25">
      <c r="A23" s="248"/>
      <c r="B23" s="266"/>
      <c r="C23" s="16"/>
      <c r="D23" s="16"/>
      <c r="E23" s="250"/>
      <c r="F23" s="250"/>
      <c r="G23" s="264"/>
      <c r="H23" s="251"/>
      <c r="I23" s="258"/>
      <c r="J23" s="248"/>
    </row>
    <row r="24" spans="1:10" ht="20.100000000000001" customHeight="1" x14ac:dyDescent="0.25">
      <c r="A24" s="248"/>
      <c r="B24" s="266"/>
      <c r="C24" s="16"/>
      <c r="D24" s="16"/>
      <c r="E24" s="250"/>
      <c r="F24" s="250"/>
      <c r="G24" s="264"/>
      <c r="H24" s="251"/>
      <c r="I24" s="258"/>
      <c r="J24" s="248"/>
    </row>
    <row r="25" spans="1:10" ht="20.100000000000001" customHeight="1" x14ac:dyDescent="0.25">
      <c r="A25" s="248"/>
      <c r="B25" s="266"/>
      <c r="C25" s="16"/>
      <c r="D25" s="16"/>
      <c r="E25" s="250"/>
      <c r="F25" s="250"/>
      <c r="G25" s="264"/>
      <c r="H25" s="251"/>
      <c r="I25" s="258"/>
      <c r="J25" s="248"/>
    </row>
    <row r="26" spans="1:10" ht="20.100000000000001" customHeight="1" x14ac:dyDescent="0.25">
      <c r="A26" s="248"/>
      <c r="B26" s="266"/>
      <c r="C26" s="16"/>
      <c r="D26" s="16"/>
      <c r="E26" s="250"/>
      <c r="F26" s="250"/>
      <c r="G26" s="264"/>
      <c r="H26" s="251"/>
      <c r="I26" s="258"/>
      <c r="J26" s="248"/>
    </row>
    <row r="27" spans="1:10" ht="20.100000000000001" customHeight="1" x14ac:dyDescent="0.25">
      <c r="A27" s="248"/>
      <c r="B27" s="266"/>
      <c r="C27" s="16"/>
      <c r="D27" s="16"/>
      <c r="E27" s="250"/>
      <c r="F27" s="250"/>
      <c r="G27" s="264"/>
      <c r="H27" s="251"/>
      <c r="I27" s="258"/>
      <c r="J27" s="248"/>
    </row>
    <row r="28" spans="1:10" ht="20.100000000000001" customHeight="1" x14ac:dyDescent="0.25">
      <c r="A28" s="248"/>
      <c r="B28" s="266"/>
      <c r="C28" s="16"/>
      <c r="D28" s="16"/>
      <c r="E28" s="250"/>
      <c r="F28" s="250"/>
      <c r="G28" s="264"/>
      <c r="H28" s="251"/>
      <c r="I28" s="258"/>
      <c r="J28" s="248"/>
    </row>
    <row r="29" spans="1:10" ht="20.100000000000001" customHeight="1" x14ac:dyDescent="0.25">
      <c r="A29" s="248"/>
      <c r="B29" s="266"/>
      <c r="C29" s="16"/>
      <c r="D29" s="16"/>
      <c r="E29" s="250"/>
      <c r="F29" s="250"/>
      <c r="G29" s="264"/>
      <c r="H29" s="251"/>
      <c r="I29" s="258"/>
      <c r="J29" s="248"/>
    </row>
    <row r="30" spans="1:10" ht="20.100000000000001" customHeight="1" x14ac:dyDescent="0.25">
      <c r="A30" s="248"/>
      <c r="B30" s="266"/>
      <c r="C30" s="16"/>
      <c r="D30" s="16"/>
      <c r="E30" s="250"/>
      <c r="F30" s="250"/>
      <c r="G30" s="264"/>
      <c r="H30" s="251"/>
      <c r="I30" s="258"/>
      <c r="J30" s="248"/>
    </row>
    <row r="31" spans="1:10" ht="20.100000000000001" customHeight="1" x14ac:dyDescent="0.25">
      <c r="A31" s="248"/>
      <c r="B31" s="266"/>
      <c r="C31" s="16"/>
      <c r="D31" s="16"/>
      <c r="E31" s="250"/>
      <c r="F31" s="250"/>
      <c r="G31" s="264"/>
      <c r="H31" s="251"/>
      <c r="I31" s="258"/>
      <c r="J31" s="248"/>
    </row>
    <row r="32" spans="1:10" ht="20.100000000000001" customHeight="1" x14ac:dyDescent="0.25">
      <c r="A32" s="248"/>
      <c r="B32" s="266"/>
      <c r="C32" s="16"/>
      <c r="D32" s="16"/>
      <c r="E32" s="250"/>
      <c r="F32" s="250"/>
      <c r="G32" s="264"/>
      <c r="H32" s="251"/>
      <c r="I32" s="258"/>
      <c r="J32" s="248"/>
    </row>
    <row r="33" spans="1:10" ht="20.100000000000001" customHeight="1" x14ac:dyDescent="0.25">
      <c r="A33" s="248"/>
      <c r="B33" s="266"/>
      <c r="C33" s="16"/>
      <c r="D33" s="16"/>
      <c r="E33" s="250"/>
      <c r="F33" s="250"/>
      <c r="G33" s="264"/>
      <c r="H33" s="251"/>
      <c r="I33" s="258"/>
      <c r="J33" s="248"/>
    </row>
    <row r="34" spans="1:10" ht="20.100000000000001" customHeight="1" x14ac:dyDescent="0.25">
      <c r="A34" s="248"/>
      <c r="B34" s="266"/>
      <c r="C34" s="16"/>
      <c r="D34" s="16"/>
      <c r="E34" s="250"/>
      <c r="F34" s="250"/>
      <c r="G34" s="264"/>
      <c r="H34" s="251"/>
      <c r="I34" s="258"/>
      <c r="J34" s="248"/>
    </row>
    <row r="35" spans="1:10" ht="20.100000000000001" customHeight="1" x14ac:dyDescent="0.25">
      <c r="A35" s="248"/>
      <c r="B35" s="266"/>
      <c r="C35" s="16"/>
      <c r="D35" s="16"/>
      <c r="E35" s="250"/>
      <c r="F35" s="250"/>
      <c r="G35" s="264"/>
      <c r="H35" s="251"/>
      <c r="I35" s="258"/>
      <c r="J35" s="248"/>
    </row>
    <row r="36" spans="1:10" ht="20.100000000000001" customHeight="1" x14ac:dyDescent="0.25">
      <c r="A36" s="248"/>
      <c r="B36" s="266"/>
      <c r="C36" s="16"/>
      <c r="D36" s="16"/>
      <c r="E36" s="250"/>
      <c r="F36" s="250"/>
      <c r="G36" s="264"/>
      <c r="H36" s="251"/>
      <c r="I36" s="258"/>
      <c r="J36" s="248"/>
    </row>
    <row r="37" spans="1:10" ht="20.100000000000001" customHeight="1" x14ac:dyDescent="0.25">
      <c r="A37" s="248"/>
      <c r="B37" s="266"/>
      <c r="C37" s="16"/>
      <c r="D37" s="16"/>
      <c r="E37" s="250"/>
      <c r="F37" s="250"/>
      <c r="G37" s="264"/>
      <c r="H37" s="251"/>
      <c r="I37" s="258"/>
      <c r="J37" s="248"/>
    </row>
    <row r="38" spans="1:10" ht="20.100000000000001" customHeight="1" x14ac:dyDescent="0.25">
      <c r="A38" s="248"/>
      <c r="B38" s="266"/>
      <c r="C38" s="16"/>
      <c r="D38" s="16"/>
      <c r="E38" s="250"/>
      <c r="F38" s="250"/>
      <c r="G38" s="264"/>
      <c r="H38" s="251"/>
      <c r="I38" s="258"/>
      <c r="J38" s="248"/>
    </row>
    <row r="39" spans="1:10" ht="20.100000000000001" customHeight="1" x14ac:dyDescent="0.25">
      <c r="A39" s="248"/>
      <c r="B39" s="266"/>
      <c r="C39" s="16"/>
      <c r="D39" s="16"/>
      <c r="E39" s="250"/>
      <c r="F39" s="250"/>
      <c r="G39" s="264"/>
      <c r="H39" s="251"/>
      <c r="I39" s="259"/>
      <c r="J39" s="249"/>
    </row>
    <row r="40" spans="1:10" ht="20.100000000000001" customHeight="1" x14ac:dyDescent="0.25">
      <c r="A40" s="248"/>
      <c r="B40" s="266"/>
      <c r="C40" s="16"/>
      <c r="D40" s="16"/>
      <c r="E40" s="250"/>
      <c r="F40" s="250"/>
      <c r="G40" s="264"/>
      <c r="H40" s="251"/>
      <c r="I40" s="257"/>
      <c r="J40" s="248"/>
    </row>
    <row r="41" spans="1:10" ht="20.100000000000001" customHeight="1" x14ac:dyDescent="0.25">
      <c r="A41" s="248"/>
      <c r="B41" s="266"/>
      <c r="C41" s="16"/>
      <c r="D41" s="16"/>
      <c r="E41" s="250"/>
      <c r="F41" s="250"/>
      <c r="G41" s="264"/>
      <c r="H41" s="251"/>
      <c r="I41" s="257"/>
      <c r="J41" s="248"/>
    </row>
    <row r="42" spans="1:10" ht="20.100000000000001" customHeight="1" x14ac:dyDescent="0.25">
      <c r="A42" s="248"/>
      <c r="B42" s="266"/>
      <c r="C42" s="16"/>
      <c r="D42" s="16"/>
      <c r="E42" s="250"/>
      <c r="F42" s="250"/>
      <c r="G42" s="264"/>
      <c r="H42" s="251"/>
      <c r="I42" s="257"/>
      <c r="J42" s="248"/>
    </row>
    <row r="43" spans="1:10" ht="20.100000000000001" customHeight="1" x14ac:dyDescent="0.25">
      <c r="A43" s="248"/>
      <c r="B43" s="266"/>
      <c r="C43" s="16"/>
      <c r="D43" s="16"/>
      <c r="E43" s="250"/>
      <c r="F43" s="250"/>
      <c r="G43" s="264"/>
      <c r="H43" s="251"/>
      <c r="I43" s="258"/>
      <c r="J43" s="248"/>
    </row>
    <row r="44" spans="1:10" ht="20.100000000000001" customHeight="1" x14ac:dyDescent="0.25">
      <c r="A44" s="248"/>
      <c r="B44" s="266"/>
      <c r="C44" s="16"/>
      <c r="D44" s="16"/>
      <c r="E44" s="250"/>
      <c r="F44" s="250"/>
      <c r="G44" s="264"/>
      <c r="H44" s="251"/>
      <c r="I44" s="261"/>
      <c r="J44" s="249"/>
    </row>
    <row r="45" spans="1:10" ht="20.100000000000001" customHeight="1" x14ac:dyDescent="0.25">
      <c r="B45" s="266"/>
      <c r="C45" s="16"/>
      <c r="D45" s="16"/>
      <c r="E45" s="250"/>
      <c r="F45" s="250"/>
      <c r="G45" s="264"/>
      <c r="H45" s="251"/>
      <c r="I45" s="257"/>
    </row>
    <row r="46" spans="1:10" ht="20.100000000000001" customHeight="1" x14ac:dyDescent="0.25">
      <c r="B46" s="266"/>
      <c r="C46" s="16"/>
      <c r="D46" s="16"/>
      <c r="E46" s="250"/>
      <c r="F46" s="250"/>
      <c r="G46" s="264"/>
      <c r="H46" s="251"/>
      <c r="I46" s="258"/>
    </row>
    <row r="47" spans="1:10" ht="20.100000000000001" customHeight="1" x14ac:dyDescent="0.25">
      <c r="B47" s="266"/>
      <c r="C47" s="16"/>
      <c r="D47" s="16"/>
      <c r="E47" s="250"/>
      <c r="F47" s="250"/>
      <c r="G47" s="264"/>
      <c r="H47" s="251"/>
      <c r="I47" s="258"/>
    </row>
    <row r="48" spans="1:10" ht="20.100000000000001" customHeight="1" x14ac:dyDescent="0.25">
      <c r="B48" s="266"/>
      <c r="C48" s="16"/>
      <c r="D48" s="16"/>
      <c r="E48" s="250"/>
      <c r="F48" s="250"/>
      <c r="G48" s="264"/>
      <c r="H48" s="251"/>
      <c r="I48" s="262"/>
    </row>
    <row r="49" spans="2:9" ht="20.100000000000001" customHeight="1" x14ac:dyDescent="0.25">
      <c r="B49" s="266"/>
      <c r="C49" s="16"/>
      <c r="D49" s="16"/>
      <c r="E49" s="250"/>
      <c r="F49" s="250"/>
      <c r="G49" s="264"/>
      <c r="H49" s="251"/>
      <c r="I49" s="257"/>
    </row>
    <row r="50" spans="2:9" ht="20.100000000000001" customHeight="1" x14ac:dyDescent="0.25">
      <c r="B50" s="266"/>
      <c r="C50" s="16"/>
      <c r="D50" s="16"/>
      <c r="E50" s="250"/>
      <c r="F50" s="250"/>
      <c r="G50" s="264"/>
      <c r="H50" s="251"/>
      <c r="I50" s="257"/>
    </row>
    <row r="51" spans="2:9" ht="20.100000000000001" customHeight="1" x14ac:dyDescent="0.25">
      <c r="B51" s="266"/>
      <c r="C51" s="16"/>
      <c r="D51" s="16"/>
      <c r="E51" s="250"/>
      <c r="F51" s="250"/>
      <c r="G51" s="264"/>
      <c r="H51" s="251"/>
      <c r="I51" s="258"/>
    </row>
    <row r="52" spans="2:9" ht="20.100000000000001" customHeight="1" x14ac:dyDescent="0.25">
      <c r="B52" s="266"/>
      <c r="C52" s="16"/>
      <c r="D52" s="16"/>
      <c r="E52" s="250"/>
      <c r="F52" s="250"/>
      <c r="G52" s="264"/>
      <c r="H52" s="251"/>
      <c r="I52" s="263"/>
    </row>
    <row r="53" spans="2:9" ht="20.100000000000001" customHeight="1" x14ac:dyDescent="0.25">
      <c r="B53" s="266"/>
      <c r="C53" s="16"/>
      <c r="D53" s="16"/>
      <c r="E53" s="250"/>
      <c r="F53" s="250"/>
      <c r="G53" s="264"/>
      <c r="H53" s="251"/>
      <c r="I53" s="257"/>
    </row>
    <row r="54" spans="2:9" ht="20.100000000000001" customHeight="1" thickBot="1" x14ac:dyDescent="0.3">
      <c r="B54" s="267"/>
      <c r="C54" s="16"/>
      <c r="D54" s="16"/>
      <c r="E54" s="250"/>
      <c r="F54" s="250"/>
      <c r="G54" s="265"/>
      <c r="H54" s="252"/>
      <c r="I54" s="260"/>
    </row>
  </sheetData>
  <mergeCells count="1">
    <mergeCell ref="B2:I2"/>
  </mergeCells>
  <conditionalFormatting sqref="D4:D54">
    <cfRule type="containsText" dxfId="1" priority="1" operator="containsText" text="Slecht">
      <formula>NOT(ISERROR(SEARCH("Slecht",D4)))</formula>
    </cfRule>
    <cfRule type="containsText" dxfId="0" priority="2" operator="containsText" text="Goed">
      <formula>NOT(ISERROR(SEARCH("Goed",D4)))</formula>
    </cfRule>
  </conditionalFormatting>
  <hyperlinks>
    <hyperlink ref="F1" location="Schip!A1" display="Schip!A1" xr:uid="{00000000-0004-0000-0800-000000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Data!$BM$4:$BM$8</xm:f>
          </x14:formula1>
          <xm:sqref>D4:D54</xm:sqref>
        </x14:dataValidation>
        <x14:dataValidation type="list" allowBlank="1" showInputMessage="1" showErrorMessage="1" xr:uid="{00000000-0002-0000-0800-000001000000}">
          <x14:formula1>
            <xm:f>Data!$AR$60:$AR$91</xm:f>
          </x14:formula1>
          <xm:sqref>C4:C54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</vt:i4>
      </vt:variant>
    </vt:vector>
  </HeadingPairs>
  <TitlesOfParts>
    <vt:vector size="14" baseType="lpstr">
      <vt:lpstr>Schip</vt:lpstr>
      <vt:lpstr>Gebruiksaanwijzing</vt:lpstr>
      <vt:lpstr>Zeilen</vt:lpstr>
      <vt:lpstr>Rondhouten</vt:lpstr>
      <vt:lpstr>Onderhoud RH</vt:lpstr>
      <vt:lpstr>Staand Want</vt:lpstr>
      <vt:lpstr>Onderhoud SW</vt:lpstr>
      <vt:lpstr>Lopend Want</vt:lpstr>
      <vt:lpstr>Onderhoud LW</vt:lpstr>
      <vt:lpstr>Estrin</vt:lpstr>
      <vt:lpstr>Branchenorm</vt:lpstr>
      <vt:lpstr>Data</vt:lpstr>
      <vt:lpstr>Afbeeldingen</vt:lpstr>
      <vt:lpstr>Rondhouten!Afdrukbereik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Marijke</dc:creator>
  <cp:lastModifiedBy>Brenda van den Broeke</cp:lastModifiedBy>
  <cp:lastPrinted>2023-12-18T19:20:53Z</cp:lastPrinted>
  <dcterms:created xsi:type="dcterms:W3CDTF">2023-11-15T20:00:18Z</dcterms:created>
  <dcterms:modified xsi:type="dcterms:W3CDTF">2024-01-15T09:13:34Z</dcterms:modified>
</cp:coreProperties>
</file>